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WACC"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<sst xmlns="http://schemas.openxmlformats.org/spreadsheetml/2006/main" count="100" uniqueCount="94">
  <si>
    <t xml:space="preserve">WACC workbook for private and small companies</t>
  </si>
  <si>
    <t xml:space="preserve">Calcority. Weighted average cost of capital with a relevered-beta route and a build-up route, book versus market weights, a leverage table, an input sensitivity table and the value of a point of WACC.</t>
  </si>
  <si>
    <t xml:space="preserve">How to use</t>
  </si>
  <si>
    <t xml:space="preserve">1</t>
  </si>
  <si>
    <t xml:space="preserve">WACC tab: overwrite the example values with your own. Enter equity and debt at market value or your best estimate, and optionally the book value of equity to see the error book weights cause.</t>
  </si>
  <si>
    <t xml:space="preserve">2</t>
  </si>
  <si>
    <t xml:space="preserve">Cost of equity has two routes. CAPM route: risk-free rate + relevered beta × risk premium + size premium + company-specific premium. Build-up route: the same without a beta, so the market premium is taken at a beta of one.</t>
  </si>
  <si>
    <t xml:space="preserve">3</t>
  </si>
  <si>
    <t xml:space="preserve">The beta is unlevered (from comparable public companies) and relevered at your debt-to-equity ratio with the Hamada formula: unlevered beta × (1 + (1 − tax) × debt/equity).</t>
  </si>
  <si>
    <t xml:space="preserve">4</t>
  </si>
  <si>
    <t xml:space="preserve">The leverage table lets the pre-tax cost of debt rise by the step you enter for every 10 points of extra debt weight. The lowest WACC in the table depends on that step. It illustrates the trade-off and is not a target.</t>
  </si>
  <si>
    <t xml:space="preserve">Colors</t>
  </si>
  <si>
    <t xml:space="preserve">Blue on yellow = you type. Black = formula. The starting values are illustrations and are not current market data.</t>
  </si>
  <si>
    <t xml:space="preserve">Definitions</t>
  </si>
  <si>
    <t xml:space="preserve">WACC</t>
  </si>
  <si>
    <t xml:space="preserve">Equity weight × cost of equity + debt weight × pre-tax cost of debt × (1 − tax rate).</t>
  </si>
  <si>
    <t xml:space="preserve">Where to look up inputs</t>
  </si>
  <si>
    <t xml:space="preserve">Risk-free rate: the yield on a long-term government bond of the same currency. Risk premium and size premium: published valuation data providers. Beta: comparable public companies. Company-specific premium: your judgment, documented.</t>
  </si>
  <si>
    <t xml:space="preserve">Disclaimer</t>
  </si>
  <si>
    <t xml:space="preserve">Planning aid, not valuation, investment or tax advice. Interest may not be fully deductible for larger companies (for example under section 163(j)).</t>
  </si>
  <si>
    <t xml:space="preserve">WACC (example values: overwrite)</t>
  </si>
  <si>
    <t xml:space="preserve">Inputs</t>
  </si>
  <si>
    <t xml:space="preserve">Equity value</t>
  </si>
  <si>
    <t xml:space="preserve">Debt</t>
  </si>
  <si>
    <t xml:space="preserve">Book value of equity (optional)</t>
  </si>
  <si>
    <t xml:space="preserve">Use a target debt weight? (Yes/No)</t>
  </si>
  <si>
    <t xml:space="preserve">No</t>
  </si>
  <si>
    <t xml:space="preserve">Target debt share</t>
  </si>
  <si>
    <t xml:space="preserve">Risk-free rate</t>
  </si>
  <si>
    <t xml:space="preserve">Equity risk premium</t>
  </si>
  <si>
    <t xml:space="preserve">Unlevered beta of comparables</t>
  </si>
  <si>
    <t xml:space="preserve">Size premium</t>
  </si>
  <si>
    <t xml:space="preserve">Company-specific premium</t>
  </si>
  <si>
    <t xml:space="preserve">Pre-tax cost of debt</t>
  </si>
  <si>
    <t xml:space="preserve">Tax rate on interest</t>
  </si>
  <si>
    <t xml:space="preserve">Points lenders add per 10 points more debt (as a decimal, 0.01 = 1 point)</t>
  </si>
  <si>
    <t xml:space="preserve">Free cash flow next year</t>
  </si>
  <si>
    <t xml:space="preserve">Long-run growth</t>
  </si>
  <si>
    <t xml:space="preserve">Actual debt share of capital</t>
  </si>
  <si>
    <t xml:space="preserve">Debt share used</t>
  </si>
  <si>
    <t xml:space="preserve">Debt to equity</t>
  </si>
  <si>
    <t xml:space="preserve">Levered beta</t>
  </si>
  <si>
    <t xml:space="preserve">Cost of equity, CAPM route</t>
  </si>
  <si>
    <t xml:space="preserve">Cost of equity, build-up route</t>
  </si>
  <si>
    <t xml:space="preserve">After-tax cost of debt</t>
  </si>
  <si>
    <t xml:space="preserve">WACC, CAPM route</t>
  </si>
  <si>
    <t xml:space="preserve">WACC, build-up route</t>
  </si>
  <si>
    <t xml:space="preserve">Tax shield, in points of WACC</t>
  </si>
  <si>
    <t xml:space="preserve">Rate if the company had no debt</t>
  </si>
  <si>
    <t xml:space="preserve">Debt share at book value of equity</t>
  </si>
  <si>
    <t xml:space="preserve">WACC at book weights</t>
  </si>
  <si>
    <t xml:space="preserve">Error from book weights, in points</t>
  </si>
  <si>
    <t xml:space="preserve">If the debt weight were different</t>
  </si>
  <si>
    <t xml:space="preserve">Debt share</t>
  </si>
  <si>
    <t xml:space="preserve">Beta</t>
  </si>
  <si>
    <t xml:space="preserve">Cost of equity</t>
  </si>
  <si>
    <t xml:space="preserve">Cost of debt</t>
  </si>
  <si>
    <t xml:space="preserve">Lowest WACC in the table</t>
  </si>
  <si>
    <t xml:space="preserve">At a debt share of</t>
  </si>
  <si>
    <t xml:space="preserve">What each input can move the rate</t>
  </si>
  <si>
    <t xml:space="preserve">Input and change</t>
  </si>
  <si>
    <t xml:space="preserve">Risk-free</t>
  </si>
  <si>
    <t xml:space="preserve">Risk premium</t>
  </si>
  <si>
    <t xml:space="preserve">Unlevered beta</t>
  </si>
  <si>
    <t xml:space="preserve">Company premium</t>
  </si>
  <si>
    <t xml:space="preserve">Risk-free rate −1 point</t>
  </si>
  <si>
    <t xml:space="preserve">Risk-free rate +1 point</t>
  </si>
  <si>
    <t xml:space="preserve">Equity risk premium −1 point</t>
  </si>
  <si>
    <t xml:space="preserve">Equity risk premium +1 point</t>
  </si>
  <si>
    <t xml:space="preserve">Unlevered beta −0.2</t>
  </si>
  <si>
    <t xml:space="preserve">Unlevered beta +0.2</t>
  </si>
  <si>
    <t xml:space="preserve">Size premium −1 point</t>
  </si>
  <si>
    <t xml:space="preserve">Size premium +1 point</t>
  </si>
  <si>
    <t xml:space="preserve">Company-specific premium −2 points</t>
  </si>
  <si>
    <t xml:space="preserve">Company-specific premium +2 points</t>
  </si>
  <si>
    <t xml:space="preserve">Cost of debt −1 point</t>
  </si>
  <si>
    <t xml:space="preserve">Cost of debt +1 point</t>
  </si>
  <si>
    <t xml:space="preserve">Debt share −10 points</t>
  </si>
  <si>
    <t xml:space="preserve">Debt share +10 points</t>
  </si>
  <si>
    <t xml:space="preserve">Swing in WACC for each change (high minus low)</t>
  </si>
  <si>
    <t xml:space="preserve">points</t>
  </si>
  <si>
    <t xml:space="preserve">Risk-free rate ±1 point</t>
  </si>
  <si>
    <t xml:space="preserve">Equity risk premium ±1 point</t>
  </si>
  <si>
    <t xml:space="preserve">Unlevered beta ±0.2</t>
  </si>
  <si>
    <t xml:space="preserve">Size premium ±1 point</t>
  </si>
  <si>
    <t xml:space="preserve">Company-specific premium ±2 points</t>
  </si>
  <si>
    <t xml:space="preserve">Cost of debt ±1 point</t>
  </si>
  <si>
    <t xml:space="preserve">Debt share ±10 points</t>
  </si>
  <si>
    <t xml:space="preserve">What a point of WACC is worth (growing perpetuity)</t>
  </si>
  <si>
    <t xml:space="preserve">Value at WACC</t>
  </si>
  <si>
    <t xml:space="preserve">Value at WACC − 1 point</t>
  </si>
  <si>
    <t xml:space="preserve">Value at WACC + 1 point</t>
  </si>
  <si>
    <t xml:space="preserve">Change for one point lower</t>
  </si>
  <si>
    <t xml:space="preserve">Change for one point higher</t>
  </si>
</sst>
</file>

<file path=xl/styles.xml><?xml version="1.0" encoding="utf-8"?>
<styleSheet xmlns="http://schemas.openxmlformats.org/spreadsheetml/2006/main">
  <numFmts count="7">
    <numFmt numFmtId="164" formatCode="General"/>
    <numFmt numFmtId="165" formatCode="\$#,##0"/>
    <numFmt numFmtId="166" formatCode="0.0%"/>
    <numFmt numFmtId="167" formatCode="0.00%"/>
    <numFmt numFmtId="168" formatCode="0.00"/>
    <numFmt numFmtId="169" formatCode="0.000"/>
    <numFmt numFmtId="170" formatCode="0%"/>
  </numFmts>
  <fonts count="10">
    <font>
      <sz val="11"/>
      <color theme="1"/>
      <name val="Calibri"/>
      <family val="2"/>
      <charset val="1"/>
    </font>
    <font>
      <sz val="10"/>
      <name val="Arial"/>
      <family val="0"/>
    </font>
    <font>
      <sz val="10"/>
      <name val="Arial"/>
      <family val="0"/>
    </font>
    <font>
      <sz val="10"/>
      <name val="Arial"/>
      <family val="0"/>
    </font>
    <font>
      <b val="true"/>
      <sz val="14"/>
      <color rgb="FF1F3864"/>
      <name val="Arial"/>
      <family val="0"/>
      <charset val="1"/>
    </font>
    <font>
      <i val="true"/>
      <sz val="10"/>
      <color rgb="FF595959"/>
      <name val="Arial"/>
      <family val="0"/>
      <charset val="1"/>
    </font>
    <font>
      <b val="true"/>
      <sz val="10"/>
      <name val="Arial"/>
      <family val="0"/>
      <charset val="1"/>
    </font>
    <font>
      <sz val="10"/>
      <name val="Arial"/>
      <family val="0"/>
      <charset val="1"/>
    </font>
    <font>
      <sz val="10"/>
      <color rgb="FF0000FF"/>
      <name val="Arial"/>
      <family val="0"/>
      <charset val="1"/>
    </font>
    <font>
      <b val="true"/>
      <sz val="10"/>
      <color rgb="FFFFFFFF"/>
      <name val="Arial"/>
      <family val="0"/>
      <charset val="1"/>
    </font>
  </fonts>
  <fills count="5">
    <fill>
      <patternFill patternType="none"/>
    </fill>
    <fill>
      <patternFill patternType="gray125"/>
    </fill>
    <fill>
      <patternFill patternType="solid">
        <fgColor rgb="FFD9E1F2"/>
        <bgColor rgb="FFCCFFFF"/>
      </patternFill>
    </fill>
    <fill>
      <patternFill patternType="solid">
        <fgColor rgb="FFFFF2CC"/>
        <bgColor rgb="FFFFFFFF"/>
      </patternFill>
    </fill>
    <fill>
      <patternFill patternType="solid">
        <fgColor rgb="FF1F3864"/>
        <bgColor rgb="FF333333"/>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9" fontId="7" fillId="0" borderId="1" xfId="0" applyFont="true" applyBorder="true" applyAlignment="false" applyProtection="false">
      <alignment horizontal="general" vertical="bottom" textRotation="0" wrapText="false" indent="0" shrinkToFit="false"/>
      <protection locked="true" hidden="false"/>
    </xf>
    <xf numFmtId="167" fontId="7" fillId="0" borderId="1" xfId="0" applyFont="true" applyBorder="true" applyAlignment="false" applyProtection="false">
      <alignment horizontal="general" vertical="bottom" textRotation="0" wrapText="false" indent="0" shrinkToFit="false"/>
      <protection locked="true" hidden="false"/>
    </xf>
    <xf numFmtId="167" fontId="6" fillId="0" borderId="1" xfId="0" applyFont="true" applyBorder="true" applyAlignment="false" applyProtection="false">
      <alignment horizontal="general" vertical="bottom" textRotation="0" wrapText="false" indent="0" shrinkToFit="false"/>
      <protection locked="true" hidden="false"/>
    </xf>
    <xf numFmtId="168" fontId="7" fillId="0"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center" vertical="bottom" textRotation="0" wrapText="false" indent="0" shrinkToFit="false"/>
      <protection locked="true" hidden="false"/>
    </xf>
    <xf numFmtId="170" fontId="8" fillId="3" borderId="1" xfId="0" applyFont="true" applyBorder="true" applyAlignment="false" applyProtection="false">
      <alignment horizontal="general" vertical="bottom" textRotation="0" wrapText="false" indent="0" shrinkToFit="false"/>
      <protection locked="true" hidden="false"/>
    </xf>
    <xf numFmtId="170" fontId="6" fillId="0"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center" vertical="bottom"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3"/>
  <sheetViews>
    <sheetView showFormulas="false" showGridLines="true" showRowColHeaders="true" showZeros="true" rightToLeft="false" tabSelected="tru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04"/>
  </cols>
  <sheetData>
    <row r="1" customFormat="false" ht="17.35" hidden="false" customHeight="false" outlineLevel="0" collapsed="false">
      <c r="A1" s="1" t="s">
        <v>0</v>
      </c>
    </row>
    <row r="2" customFormat="false" ht="15" hidden="false" customHeight="false" outlineLevel="0" collapsed="false">
      <c r="A2" s="2" t="s">
        <v>1</v>
      </c>
    </row>
    <row r="4" customFormat="false" ht="15.75" hidden="false" customHeight="true" outlineLevel="0" collapsed="false">
      <c r="A4" s="3" t="s">
        <v>2</v>
      </c>
      <c r="B4" s="4"/>
    </row>
    <row r="5" customFormat="false" ht="30" hidden="false" customHeight="true" outlineLevel="0" collapsed="false">
      <c r="A5" s="5" t="s">
        <v>3</v>
      </c>
      <c r="B5" s="6" t="s">
        <v>4</v>
      </c>
    </row>
    <row r="6" customFormat="false" ht="30" hidden="false" customHeight="true" outlineLevel="0" collapsed="false">
      <c r="A6" s="5" t="s">
        <v>5</v>
      </c>
      <c r="B6" s="6" t="s">
        <v>6</v>
      </c>
    </row>
    <row r="7" customFormat="false" ht="30" hidden="false" customHeight="true" outlineLevel="0" collapsed="false">
      <c r="A7" s="5" t="s">
        <v>7</v>
      </c>
      <c r="B7" s="6" t="s">
        <v>8</v>
      </c>
    </row>
    <row r="8" customFormat="false" ht="30" hidden="false" customHeight="true" outlineLevel="0" collapsed="false">
      <c r="A8" s="5" t="s">
        <v>9</v>
      </c>
      <c r="B8" s="6" t="s">
        <v>10</v>
      </c>
    </row>
    <row r="9" customFormat="false" ht="30" hidden="false" customHeight="true" outlineLevel="0" collapsed="false">
      <c r="A9" s="5" t="s">
        <v>11</v>
      </c>
      <c r="B9" s="6" t="s">
        <v>12</v>
      </c>
    </row>
    <row r="10" customFormat="false" ht="15.75" hidden="false" customHeight="true" outlineLevel="0" collapsed="false">
      <c r="A10" s="3" t="s">
        <v>13</v>
      </c>
      <c r="B10" s="4"/>
    </row>
    <row r="11" customFormat="false" ht="15.75" hidden="false" customHeight="true" outlineLevel="0" collapsed="false">
      <c r="A11" s="5" t="s">
        <v>14</v>
      </c>
      <c r="B11" s="6" t="s">
        <v>15</v>
      </c>
    </row>
    <row r="12" customFormat="false" ht="30" hidden="false" customHeight="true" outlineLevel="0" collapsed="false">
      <c r="A12" s="5" t="s">
        <v>16</v>
      </c>
      <c r="B12" s="6" t="s">
        <v>17</v>
      </c>
    </row>
    <row r="13" customFormat="false" ht="30" hidden="false" customHeight="true" outlineLevel="0" collapsed="false">
      <c r="A13" s="5" t="s">
        <v>18</v>
      </c>
      <c r="B13" s="6" t="s">
        <v>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80"/>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4"/>
    <col collapsed="false" customWidth="true" hidden="false" outlineLevel="0" max="14" min="2" style="0" width="14"/>
  </cols>
  <sheetData>
    <row r="1" customFormat="false" ht="17.35" hidden="false" customHeight="false" outlineLevel="0" collapsed="false">
      <c r="A1" s="1" t="s">
        <v>20</v>
      </c>
    </row>
    <row r="3" customFormat="false" ht="15" hidden="false" customHeight="false" outlineLevel="0" collapsed="false">
      <c r="A3" s="3" t="s">
        <v>21</v>
      </c>
      <c r="B3" s="7"/>
    </row>
    <row r="4" customFormat="false" ht="15" hidden="false" customHeight="false" outlineLevel="0" collapsed="false">
      <c r="A4" s="8" t="s">
        <v>22</v>
      </c>
      <c r="B4" s="9" t="n">
        <v>7000000</v>
      </c>
    </row>
    <row r="5" customFormat="false" ht="15" hidden="false" customHeight="false" outlineLevel="0" collapsed="false">
      <c r="A5" s="8" t="s">
        <v>23</v>
      </c>
      <c r="B5" s="9" t="n">
        <v>3000000</v>
      </c>
    </row>
    <row r="6" customFormat="false" ht="15" hidden="false" customHeight="false" outlineLevel="0" collapsed="false">
      <c r="A6" s="8" t="s">
        <v>24</v>
      </c>
      <c r="B6" s="9" t="n">
        <v>2500000</v>
      </c>
    </row>
    <row r="7" customFormat="false" ht="15" hidden="false" customHeight="false" outlineLevel="0" collapsed="false">
      <c r="A7" s="8" t="s">
        <v>25</v>
      </c>
      <c r="B7" s="10" t="s">
        <v>26</v>
      </c>
    </row>
    <row r="8" customFormat="false" ht="15" hidden="false" customHeight="false" outlineLevel="0" collapsed="false">
      <c r="A8" s="8" t="s">
        <v>27</v>
      </c>
      <c r="B8" s="11" t="n">
        <v>0.4</v>
      </c>
    </row>
    <row r="9" customFormat="false" ht="15" hidden="false" customHeight="false" outlineLevel="0" collapsed="false">
      <c r="A9" s="8" t="s">
        <v>28</v>
      </c>
      <c r="B9" s="12" t="n">
        <v>0.042</v>
      </c>
    </row>
    <row r="10" customFormat="false" ht="15" hidden="false" customHeight="false" outlineLevel="0" collapsed="false">
      <c r="A10" s="8" t="s">
        <v>29</v>
      </c>
      <c r="B10" s="12" t="n">
        <v>0.05</v>
      </c>
    </row>
    <row r="11" customFormat="false" ht="15" hidden="false" customHeight="false" outlineLevel="0" collapsed="false">
      <c r="A11" s="8" t="s">
        <v>30</v>
      </c>
      <c r="B11" s="13" t="n">
        <v>0.9</v>
      </c>
    </row>
    <row r="12" customFormat="false" ht="15" hidden="false" customHeight="false" outlineLevel="0" collapsed="false">
      <c r="A12" s="8" t="s">
        <v>31</v>
      </c>
      <c r="B12" s="12" t="n">
        <v>0.03</v>
      </c>
    </row>
    <row r="13" customFormat="false" ht="15" hidden="false" customHeight="false" outlineLevel="0" collapsed="false">
      <c r="A13" s="8" t="s">
        <v>32</v>
      </c>
      <c r="B13" s="12" t="n">
        <v>0.02</v>
      </c>
    </row>
    <row r="14" customFormat="false" ht="15" hidden="false" customHeight="false" outlineLevel="0" collapsed="false">
      <c r="A14" s="8" t="s">
        <v>33</v>
      </c>
      <c r="B14" s="12" t="n">
        <v>0.08</v>
      </c>
    </row>
    <row r="15" customFormat="false" ht="15" hidden="false" customHeight="false" outlineLevel="0" collapsed="false">
      <c r="A15" s="8" t="s">
        <v>34</v>
      </c>
      <c r="B15" s="11" t="n">
        <v>0.25</v>
      </c>
    </row>
    <row r="16" customFormat="false" ht="15" hidden="false" customHeight="false" outlineLevel="0" collapsed="false">
      <c r="A16" s="8" t="s">
        <v>35</v>
      </c>
      <c r="B16" s="12" t="n">
        <v>0.01</v>
      </c>
    </row>
    <row r="17" customFormat="false" ht="15" hidden="false" customHeight="false" outlineLevel="0" collapsed="false">
      <c r="A17" s="8" t="s">
        <v>36</v>
      </c>
      <c r="B17" s="9" t="n">
        <v>800000</v>
      </c>
    </row>
    <row r="18" customFormat="false" ht="15" hidden="false" customHeight="false" outlineLevel="0" collapsed="false">
      <c r="A18" s="8" t="s">
        <v>37</v>
      </c>
      <c r="B18" s="11" t="n">
        <v>0.03</v>
      </c>
    </row>
    <row r="20" customFormat="false" ht="15" hidden="false" customHeight="false" outlineLevel="0" collapsed="false">
      <c r="A20" s="3" t="s">
        <v>14</v>
      </c>
      <c r="B20" s="7"/>
    </row>
    <row r="21" customFormat="false" ht="15" hidden="false" customHeight="false" outlineLevel="0" collapsed="false">
      <c r="A21" s="8" t="s">
        <v>38</v>
      </c>
      <c r="B21" s="14" t="n">
        <f aca="false">B5/(B4+B5)</f>
        <v>0.3</v>
      </c>
    </row>
    <row r="22" customFormat="false" ht="15" hidden="false" customHeight="false" outlineLevel="0" collapsed="false">
      <c r="A22" s="8" t="s">
        <v>39</v>
      </c>
      <c r="B22" s="14" t="n">
        <f aca="false">IF(B7="Yes",B8,B21)</f>
        <v>0.3</v>
      </c>
    </row>
    <row r="23" customFormat="false" ht="15" hidden="false" customHeight="false" outlineLevel="0" collapsed="false">
      <c r="A23" s="8" t="s">
        <v>40</v>
      </c>
      <c r="B23" s="14" t="n">
        <f aca="false">B22/(1-B22)</f>
        <v>0.428571428571429</v>
      </c>
    </row>
    <row r="24" customFormat="false" ht="15" hidden="false" customHeight="false" outlineLevel="0" collapsed="false">
      <c r="A24" s="8" t="s">
        <v>41</v>
      </c>
      <c r="B24" s="15" t="n">
        <f aca="false">B11*(1+(1-B15)*B23)</f>
        <v>1.18928571428571</v>
      </c>
    </row>
    <row r="25" customFormat="false" ht="15" hidden="false" customHeight="false" outlineLevel="0" collapsed="false">
      <c r="A25" s="8" t="s">
        <v>42</v>
      </c>
      <c r="B25" s="16" t="n">
        <f aca="false">B9+B24*B10+B12+B13</f>
        <v>0.151464285714286</v>
      </c>
    </row>
    <row r="26" customFormat="false" ht="15" hidden="false" customHeight="false" outlineLevel="0" collapsed="false">
      <c r="A26" s="8" t="s">
        <v>43</v>
      </c>
      <c r="B26" s="16" t="n">
        <f aca="false">B9+B10+B12+B13</f>
        <v>0.142</v>
      </c>
    </row>
    <row r="27" customFormat="false" ht="15" hidden="false" customHeight="false" outlineLevel="0" collapsed="false">
      <c r="A27" s="8" t="s">
        <v>44</v>
      </c>
      <c r="B27" s="16" t="n">
        <f aca="false">B14*(1-B15)</f>
        <v>0.06</v>
      </c>
    </row>
    <row r="28" customFormat="false" ht="15" hidden="false" customHeight="false" outlineLevel="0" collapsed="false">
      <c r="A28" s="5" t="s">
        <v>45</v>
      </c>
      <c r="B28" s="17" t="n">
        <f aca="false">(1-B22)*B25+B22*B27</f>
        <v>0.124025</v>
      </c>
    </row>
    <row r="29" customFormat="false" ht="15" hidden="false" customHeight="false" outlineLevel="0" collapsed="false">
      <c r="A29" s="5" t="s">
        <v>46</v>
      </c>
      <c r="B29" s="17" t="n">
        <f aca="false">(1-B22)*B26+B22*B27</f>
        <v>0.1174</v>
      </c>
    </row>
    <row r="30" customFormat="false" ht="15" hidden="false" customHeight="false" outlineLevel="0" collapsed="false">
      <c r="A30" s="8" t="s">
        <v>47</v>
      </c>
      <c r="B30" s="18" t="n">
        <f aca="false">((1-B22)*B25+B22*B14-B28)*100</f>
        <v>0.600000000000001</v>
      </c>
    </row>
    <row r="31" customFormat="false" ht="15" hidden="false" customHeight="false" outlineLevel="0" collapsed="false">
      <c r="A31" s="8" t="s">
        <v>48</v>
      </c>
      <c r="B31" s="16" t="n">
        <f aca="false">B9+B11*B10+B12+B13</f>
        <v>0.137</v>
      </c>
    </row>
    <row r="32" customFormat="false" ht="15" hidden="false" customHeight="false" outlineLevel="0" collapsed="false">
      <c r="A32" s="8" t="s">
        <v>49</v>
      </c>
      <c r="B32" s="14" t="n">
        <f aca="false">B5/(B6+B5)</f>
        <v>0.545454545454545</v>
      </c>
    </row>
    <row r="33" customFormat="false" ht="15" hidden="false" customHeight="false" outlineLevel="0" collapsed="false">
      <c r="A33" s="8" t="s">
        <v>50</v>
      </c>
      <c r="B33" s="16" t="n">
        <f aca="false">(1-B32)*B25+B32*B27</f>
        <v>0.101574675324675</v>
      </c>
    </row>
    <row r="34" customFormat="false" ht="15" hidden="false" customHeight="false" outlineLevel="0" collapsed="false">
      <c r="A34" s="8" t="s">
        <v>51</v>
      </c>
      <c r="B34" s="18" t="n">
        <f aca="false">(B28-B33)*100</f>
        <v>2.24503246753247</v>
      </c>
    </row>
    <row r="36" customFormat="false" ht="15" hidden="false" customHeight="false" outlineLevel="0" collapsed="false">
      <c r="A36" s="3" t="s">
        <v>52</v>
      </c>
      <c r="B36" s="7"/>
    </row>
    <row r="37" customFormat="false" ht="15" hidden="false" customHeight="false" outlineLevel="0" collapsed="false">
      <c r="A37" s="19" t="s">
        <v>53</v>
      </c>
      <c r="B37" s="19" t="s">
        <v>54</v>
      </c>
      <c r="C37" s="19" t="s">
        <v>55</v>
      </c>
      <c r="D37" s="19" t="s">
        <v>56</v>
      </c>
      <c r="E37" s="19" t="s">
        <v>14</v>
      </c>
    </row>
    <row r="38" customFormat="false" ht="15" hidden="false" customHeight="false" outlineLevel="0" collapsed="false">
      <c r="A38" s="20" t="n">
        <v>0</v>
      </c>
      <c r="B38" s="18" t="n">
        <f aca="false">$B$11*(1+(1-$B$15)*(A38/(1-A38)))</f>
        <v>0.9</v>
      </c>
      <c r="C38" s="16" t="n">
        <f aca="false">$B$9+B38*$B$10+$B$12+$B$13</f>
        <v>0.137</v>
      </c>
      <c r="D38" s="16" t="n">
        <f aca="false">MAX($B$9+0.005,$B$14+$B$16*(A38-$B$22)/0.1)</f>
        <v>0.05</v>
      </c>
      <c r="E38" s="16" t="n">
        <f aca="false">(1-A38)*C38+A38*D38*(1-$B$15)</f>
        <v>0.137</v>
      </c>
    </row>
    <row r="39" customFormat="false" ht="15" hidden="false" customHeight="false" outlineLevel="0" collapsed="false">
      <c r="A39" s="20" t="n">
        <v>0.1</v>
      </c>
      <c r="B39" s="18" t="n">
        <f aca="false">$B$11*(1+(1-$B$15)*(A39/(1-A39)))</f>
        <v>0.975</v>
      </c>
      <c r="C39" s="16" t="n">
        <f aca="false">$B$9+B39*$B$10+$B$12+$B$13</f>
        <v>0.14075</v>
      </c>
      <c r="D39" s="16" t="n">
        <f aca="false">MAX($B$9+0.005,$B$14+$B$16*(A39-$B$22)/0.1)</f>
        <v>0.06</v>
      </c>
      <c r="E39" s="16" t="n">
        <f aca="false">(1-A39)*C39+A39*D39*(1-$B$15)</f>
        <v>0.131175</v>
      </c>
    </row>
    <row r="40" customFormat="false" ht="15" hidden="false" customHeight="false" outlineLevel="0" collapsed="false">
      <c r="A40" s="20" t="n">
        <v>0.2</v>
      </c>
      <c r="B40" s="18" t="n">
        <f aca="false">$B$11*(1+(1-$B$15)*(A40/(1-A40)))</f>
        <v>1.06875</v>
      </c>
      <c r="C40" s="16" t="n">
        <f aca="false">$B$9+B40*$B$10+$B$12+$B$13</f>
        <v>0.1454375</v>
      </c>
      <c r="D40" s="16" t="n">
        <f aca="false">MAX($B$9+0.005,$B$14+$B$16*(A40-$B$22)/0.1)</f>
        <v>0.07</v>
      </c>
      <c r="E40" s="16" t="n">
        <f aca="false">(1-A40)*C40+A40*D40*(1-$B$15)</f>
        <v>0.12685</v>
      </c>
    </row>
    <row r="41" customFormat="false" ht="15" hidden="false" customHeight="false" outlineLevel="0" collapsed="false">
      <c r="A41" s="20" t="n">
        <v>0.3</v>
      </c>
      <c r="B41" s="18" t="n">
        <f aca="false">$B$11*(1+(1-$B$15)*(A41/(1-A41)))</f>
        <v>1.18928571428571</v>
      </c>
      <c r="C41" s="16" t="n">
        <f aca="false">$B$9+B41*$B$10+$B$12+$B$13</f>
        <v>0.151464285714286</v>
      </c>
      <c r="D41" s="16" t="n">
        <f aca="false">MAX($B$9+0.005,$B$14+$B$16*(A41-$B$22)/0.1)</f>
        <v>0.08</v>
      </c>
      <c r="E41" s="16" t="n">
        <f aca="false">(1-A41)*C41+A41*D41*(1-$B$15)</f>
        <v>0.124025</v>
      </c>
    </row>
    <row r="42" customFormat="false" ht="15" hidden="false" customHeight="false" outlineLevel="0" collapsed="false">
      <c r="A42" s="20" t="n">
        <v>0.4</v>
      </c>
      <c r="B42" s="18" t="n">
        <f aca="false">$B$11*(1+(1-$B$15)*(A42/(1-A42)))</f>
        <v>1.35</v>
      </c>
      <c r="C42" s="16" t="n">
        <f aca="false">$B$9+B42*$B$10+$B$12+$B$13</f>
        <v>0.1595</v>
      </c>
      <c r="D42" s="16" t="n">
        <f aca="false">MAX($B$9+0.005,$B$14+$B$16*(A42-$B$22)/0.1)</f>
        <v>0.09</v>
      </c>
      <c r="E42" s="16" t="n">
        <f aca="false">(1-A42)*C42+A42*D42*(1-$B$15)</f>
        <v>0.1227</v>
      </c>
    </row>
    <row r="43" customFormat="false" ht="15" hidden="false" customHeight="false" outlineLevel="0" collapsed="false">
      <c r="A43" s="20" t="n">
        <v>0.5</v>
      </c>
      <c r="B43" s="18" t="n">
        <f aca="false">$B$11*(1+(1-$B$15)*(A43/(1-A43)))</f>
        <v>1.575</v>
      </c>
      <c r="C43" s="16" t="n">
        <f aca="false">$B$9+B43*$B$10+$B$12+$B$13</f>
        <v>0.17075</v>
      </c>
      <c r="D43" s="16" t="n">
        <f aca="false">MAX($B$9+0.005,$B$14+$B$16*(A43-$B$22)/0.1)</f>
        <v>0.1</v>
      </c>
      <c r="E43" s="16" t="n">
        <f aca="false">(1-A43)*C43+A43*D43*(1-$B$15)</f>
        <v>0.122875</v>
      </c>
    </row>
    <row r="44" customFormat="false" ht="15" hidden="false" customHeight="false" outlineLevel="0" collapsed="false">
      <c r="A44" s="20" t="n">
        <v>0.6</v>
      </c>
      <c r="B44" s="18" t="n">
        <f aca="false">$B$11*(1+(1-$B$15)*(A44/(1-A44)))</f>
        <v>1.9125</v>
      </c>
      <c r="C44" s="16" t="n">
        <f aca="false">$B$9+B44*$B$10+$B$12+$B$13</f>
        <v>0.187625</v>
      </c>
      <c r="D44" s="16" t="n">
        <f aca="false">MAX($B$9+0.005,$B$14+$B$16*(A44-$B$22)/0.1)</f>
        <v>0.11</v>
      </c>
      <c r="E44" s="16" t="n">
        <f aca="false">(1-A44)*C44+A44*D44*(1-$B$15)</f>
        <v>0.12455</v>
      </c>
    </row>
    <row r="45" customFormat="false" ht="15" hidden="false" customHeight="false" outlineLevel="0" collapsed="false">
      <c r="A45" s="20" t="n">
        <v>0.7</v>
      </c>
      <c r="B45" s="18" t="n">
        <f aca="false">$B$11*(1+(1-$B$15)*(A45/(1-A45)))</f>
        <v>2.475</v>
      </c>
      <c r="C45" s="16" t="n">
        <f aca="false">$B$9+B45*$B$10+$B$12+$B$13</f>
        <v>0.21575</v>
      </c>
      <c r="D45" s="16" t="n">
        <f aca="false">MAX($B$9+0.005,$B$14+$B$16*(A45-$B$22)/0.1)</f>
        <v>0.12</v>
      </c>
      <c r="E45" s="16" t="n">
        <f aca="false">(1-A45)*C45+A45*D45*(1-$B$15)</f>
        <v>0.127725</v>
      </c>
    </row>
    <row r="46" customFormat="false" ht="15" hidden="false" customHeight="false" outlineLevel="0" collapsed="false">
      <c r="A46" s="5" t="s">
        <v>57</v>
      </c>
      <c r="B46" s="17" t="n">
        <f aca="false">MIN(E38:E45)</f>
        <v>0.1227</v>
      </c>
    </row>
    <row r="47" customFormat="false" ht="15" hidden="false" customHeight="false" outlineLevel="0" collapsed="false">
      <c r="A47" s="5" t="s">
        <v>58</v>
      </c>
      <c r="B47" s="21" t="n">
        <f aca="false">INDEX(A38:A45,MATCH(B46,E38:E45,0))</f>
        <v>0.4</v>
      </c>
    </row>
    <row r="49" customFormat="false" ht="15" hidden="false" customHeight="false" outlineLevel="0" collapsed="false">
      <c r="A49" s="3" t="s">
        <v>59</v>
      </c>
      <c r="B49" s="7"/>
    </row>
    <row r="50" customFormat="false" ht="31.5" hidden="false" customHeight="true" outlineLevel="0" collapsed="false">
      <c r="A50" s="22" t="s">
        <v>60</v>
      </c>
      <c r="B50" s="22" t="s">
        <v>61</v>
      </c>
      <c r="C50" s="22" t="s">
        <v>62</v>
      </c>
      <c r="D50" s="22" t="s">
        <v>63</v>
      </c>
      <c r="E50" s="22" t="s">
        <v>31</v>
      </c>
      <c r="F50" s="22" t="s">
        <v>64</v>
      </c>
      <c r="G50" s="22" t="s">
        <v>56</v>
      </c>
      <c r="H50" s="22" t="s">
        <v>53</v>
      </c>
      <c r="I50" s="22" t="s">
        <v>14</v>
      </c>
    </row>
    <row r="51" customFormat="false" ht="15" hidden="false" customHeight="false" outlineLevel="0" collapsed="false">
      <c r="A51" s="23" t="s">
        <v>65</v>
      </c>
      <c r="B51" s="16" t="n">
        <f aca="false">$B$9-0.01</f>
        <v>0.032</v>
      </c>
      <c r="C51" s="16" t="n">
        <f aca="false">$B$10</f>
        <v>0.05</v>
      </c>
      <c r="D51" s="18" t="n">
        <f aca="false">$B$11</f>
        <v>0.9</v>
      </c>
      <c r="E51" s="16" t="n">
        <f aca="false">$B$12</f>
        <v>0.03</v>
      </c>
      <c r="F51" s="16" t="n">
        <f aca="false">$B$13</f>
        <v>0.02</v>
      </c>
      <c r="G51" s="16" t="n">
        <f aca="false">$B$14</f>
        <v>0.08</v>
      </c>
      <c r="H51" s="14" t="n">
        <f aca="false">$B$22</f>
        <v>0.3</v>
      </c>
      <c r="I51" s="17" t="n">
        <f aca="false">(1-H51)*(B51+D51*(1+(1-$B$15)*(H51/(1-H51)))*C51+E51+F51)+H51*MAX(B51+0.005,G51+$B$16*(H51-$B$22)/0.1)*(1-$B$15)</f>
        <v>0.117025</v>
      </c>
    </row>
    <row r="52" customFormat="false" ht="15" hidden="false" customHeight="false" outlineLevel="0" collapsed="false">
      <c r="A52" s="23" t="s">
        <v>66</v>
      </c>
      <c r="B52" s="16" t="n">
        <f aca="false">$B$9+0.01</f>
        <v>0.052</v>
      </c>
      <c r="C52" s="16" t="n">
        <f aca="false">$B$10</f>
        <v>0.05</v>
      </c>
      <c r="D52" s="18" t="n">
        <f aca="false">$B$11</f>
        <v>0.9</v>
      </c>
      <c r="E52" s="16" t="n">
        <f aca="false">$B$12</f>
        <v>0.03</v>
      </c>
      <c r="F52" s="16" t="n">
        <f aca="false">$B$13</f>
        <v>0.02</v>
      </c>
      <c r="G52" s="16" t="n">
        <f aca="false">$B$14</f>
        <v>0.08</v>
      </c>
      <c r="H52" s="14" t="n">
        <f aca="false">$B$22</f>
        <v>0.3</v>
      </c>
      <c r="I52" s="17" t="n">
        <f aca="false">(1-H52)*(B52+D52*(1+(1-$B$15)*(H52/(1-H52)))*C52+E52+F52)+H52*MAX(B52+0.005,G52+$B$16*(H52-$B$22)/0.1)*(1-$B$15)</f>
        <v>0.131025</v>
      </c>
    </row>
    <row r="53" customFormat="false" ht="15" hidden="false" customHeight="false" outlineLevel="0" collapsed="false">
      <c r="A53" s="23" t="s">
        <v>67</v>
      </c>
      <c r="B53" s="16" t="n">
        <f aca="false">$B$9</f>
        <v>0.042</v>
      </c>
      <c r="C53" s="16" t="n">
        <f aca="false">$B$10-0.01</f>
        <v>0.04</v>
      </c>
      <c r="D53" s="18" t="n">
        <f aca="false">$B$11</f>
        <v>0.9</v>
      </c>
      <c r="E53" s="16" t="n">
        <f aca="false">$B$12</f>
        <v>0.03</v>
      </c>
      <c r="F53" s="16" t="n">
        <f aca="false">$B$13</f>
        <v>0.02</v>
      </c>
      <c r="G53" s="16" t="n">
        <f aca="false">$B$14</f>
        <v>0.08</v>
      </c>
      <c r="H53" s="14" t="n">
        <f aca="false">$B$22</f>
        <v>0.3</v>
      </c>
      <c r="I53" s="17" t="n">
        <f aca="false">(1-H53)*(B53+D53*(1+(1-$B$15)*(H53/(1-H53)))*C53+E53+F53)+H53*MAX(B53+0.005,G53+$B$16*(H53-$B$22)/0.1)*(1-$B$15)</f>
        <v>0.1157</v>
      </c>
    </row>
    <row r="54" customFormat="false" ht="15" hidden="false" customHeight="false" outlineLevel="0" collapsed="false">
      <c r="A54" s="23" t="s">
        <v>68</v>
      </c>
      <c r="B54" s="16" t="n">
        <f aca="false">$B$9</f>
        <v>0.042</v>
      </c>
      <c r="C54" s="16" t="n">
        <f aca="false">$B$10+0.01</f>
        <v>0.06</v>
      </c>
      <c r="D54" s="18" t="n">
        <f aca="false">$B$11</f>
        <v>0.9</v>
      </c>
      <c r="E54" s="16" t="n">
        <f aca="false">$B$12</f>
        <v>0.03</v>
      </c>
      <c r="F54" s="16" t="n">
        <f aca="false">$B$13</f>
        <v>0.02</v>
      </c>
      <c r="G54" s="16" t="n">
        <f aca="false">$B$14</f>
        <v>0.08</v>
      </c>
      <c r="H54" s="14" t="n">
        <f aca="false">$B$22</f>
        <v>0.3</v>
      </c>
      <c r="I54" s="17" t="n">
        <f aca="false">(1-H54)*(B54+D54*(1+(1-$B$15)*(H54/(1-H54)))*C54+E54+F54)+H54*MAX(B54+0.005,G54+$B$16*(H54-$B$22)/0.1)*(1-$B$15)</f>
        <v>0.13235</v>
      </c>
    </row>
    <row r="55" customFormat="false" ht="15" hidden="false" customHeight="false" outlineLevel="0" collapsed="false">
      <c r="A55" s="23" t="s">
        <v>69</v>
      </c>
      <c r="B55" s="16" t="n">
        <f aca="false">$B$9</f>
        <v>0.042</v>
      </c>
      <c r="C55" s="16" t="n">
        <f aca="false">$B$10</f>
        <v>0.05</v>
      </c>
      <c r="D55" s="18" t="n">
        <f aca="false">$B$11-0.2</f>
        <v>0.7</v>
      </c>
      <c r="E55" s="16" t="n">
        <f aca="false">$B$12</f>
        <v>0.03</v>
      </c>
      <c r="F55" s="16" t="n">
        <f aca="false">$B$13</f>
        <v>0.02</v>
      </c>
      <c r="G55" s="16" t="n">
        <f aca="false">$B$14</f>
        <v>0.08</v>
      </c>
      <c r="H55" s="14" t="n">
        <f aca="false">$B$22</f>
        <v>0.3</v>
      </c>
      <c r="I55" s="17" t="n">
        <f aca="false">(1-H55)*(B55+D55*(1+(1-$B$15)*(H55/(1-H55)))*C55+E55+F55)+H55*MAX(B55+0.005,G55+$B$16*(H55-$B$22)/0.1)*(1-$B$15)</f>
        <v>0.114775</v>
      </c>
    </row>
    <row r="56" customFormat="false" ht="15" hidden="false" customHeight="false" outlineLevel="0" collapsed="false">
      <c r="A56" s="23" t="s">
        <v>70</v>
      </c>
      <c r="B56" s="16" t="n">
        <f aca="false">$B$9</f>
        <v>0.042</v>
      </c>
      <c r="C56" s="16" t="n">
        <f aca="false">$B$10</f>
        <v>0.05</v>
      </c>
      <c r="D56" s="18" t="n">
        <f aca="false">$B$11+0.2</f>
        <v>1.1</v>
      </c>
      <c r="E56" s="16" t="n">
        <f aca="false">$B$12</f>
        <v>0.03</v>
      </c>
      <c r="F56" s="16" t="n">
        <f aca="false">$B$13</f>
        <v>0.02</v>
      </c>
      <c r="G56" s="16" t="n">
        <f aca="false">$B$14</f>
        <v>0.08</v>
      </c>
      <c r="H56" s="14" t="n">
        <f aca="false">$B$22</f>
        <v>0.3</v>
      </c>
      <c r="I56" s="17" t="n">
        <f aca="false">(1-H56)*(B56+D56*(1+(1-$B$15)*(H56/(1-H56)))*C56+E56+F56)+H56*MAX(B56+0.005,G56+$B$16*(H56-$B$22)/0.1)*(1-$B$15)</f>
        <v>0.133275</v>
      </c>
    </row>
    <row r="57" customFormat="false" ht="15" hidden="false" customHeight="false" outlineLevel="0" collapsed="false">
      <c r="A57" s="23" t="s">
        <v>71</v>
      </c>
      <c r="B57" s="16" t="n">
        <f aca="false">$B$9</f>
        <v>0.042</v>
      </c>
      <c r="C57" s="16" t="n">
        <f aca="false">$B$10</f>
        <v>0.05</v>
      </c>
      <c r="D57" s="18" t="n">
        <f aca="false">$B$11</f>
        <v>0.9</v>
      </c>
      <c r="E57" s="16" t="n">
        <f aca="false">$B$12-0.01</f>
        <v>0.02</v>
      </c>
      <c r="F57" s="16" t="n">
        <f aca="false">$B$13</f>
        <v>0.02</v>
      </c>
      <c r="G57" s="16" t="n">
        <f aca="false">$B$14</f>
        <v>0.08</v>
      </c>
      <c r="H57" s="14" t="n">
        <f aca="false">$B$22</f>
        <v>0.3</v>
      </c>
      <c r="I57" s="17" t="n">
        <f aca="false">(1-H57)*(B57+D57*(1+(1-$B$15)*(H57/(1-H57)))*C57+E57+F57)+H57*MAX(B57+0.005,G57+$B$16*(H57-$B$22)/0.1)*(1-$B$15)</f>
        <v>0.117025</v>
      </c>
    </row>
    <row r="58" customFormat="false" ht="15" hidden="false" customHeight="false" outlineLevel="0" collapsed="false">
      <c r="A58" s="23" t="s">
        <v>72</v>
      </c>
      <c r="B58" s="16" t="n">
        <f aca="false">$B$9</f>
        <v>0.042</v>
      </c>
      <c r="C58" s="16" t="n">
        <f aca="false">$B$10</f>
        <v>0.05</v>
      </c>
      <c r="D58" s="18" t="n">
        <f aca="false">$B$11</f>
        <v>0.9</v>
      </c>
      <c r="E58" s="16" t="n">
        <f aca="false">$B$12+0.01</f>
        <v>0.04</v>
      </c>
      <c r="F58" s="16" t="n">
        <f aca="false">$B$13</f>
        <v>0.02</v>
      </c>
      <c r="G58" s="16" t="n">
        <f aca="false">$B$14</f>
        <v>0.08</v>
      </c>
      <c r="H58" s="14" t="n">
        <f aca="false">$B$22</f>
        <v>0.3</v>
      </c>
      <c r="I58" s="17" t="n">
        <f aca="false">(1-H58)*(B58+D58*(1+(1-$B$15)*(H58/(1-H58)))*C58+E58+F58)+H58*MAX(B58+0.005,G58+$B$16*(H58-$B$22)/0.1)*(1-$B$15)</f>
        <v>0.131025</v>
      </c>
    </row>
    <row r="59" customFormat="false" ht="15" hidden="false" customHeight="false" outlineLevel="0" collapsed="false">
      <c r="A59" s="23" t="s">
        <v>73</v>
      </c>
      <c r="B59" s="16" t="n">
        <f aca="false">$B$9</f>
        <v>0.042</v>
      </c>
      <c r="C59" s="16" t="n">
        <f aca="false">$B$10</f>
        <v>0.05</v>
      </c>
      <c r="D59" s="18" t="n">
        <f aca="false">$B$11</f>
        <v>0.9</v>
      </c>
      <c r="E59" s="16" t="n">
        <f aca="false">$B$12</f>
        <v>0.03</v>
      </c>
      <c r="F59" s="16" t="n">
        <f aca="false">$B$13-0.02</f>
        <v>0</v>
      </c>
      <c r="G59" s="16" t="n">
        <f aca="false">$B$14</f>
        <v>0.08</v>
      </c>
      <c r="H59" s="14" t="n">
        <f aca="false">$B$22</f>
        <v>0.3</v>
      </c>
      <c r="I59" s="17" t="n">
        <f aca="false">(1-H59)*(B59+D59*(1+(1-$B$15)*(H59/(1-H59)))*C59+E59+F59)+H59*MAX(B59+0.005,G59+$B$16*(H59-$B$22)/0.1)*(1-$B$15)</f>
        <v>0.110025</v>
      </c>
    </row>
    <row r="60" customFormat="false" ht="15" hidden="false" customHeight="false" outlineLevel="0" collapsed="false">
      <c r="A60" s="23" t="s">
        <v>74</v>
      </c>
      <c r="B60" s="16" t="n">
        <f aca="false">$B$9</f>
        <v>0.042</v>
      </c>
      <c r="C60" s="16" t="n">
        <f aca="false">$B$10</f>
        <v>0.05</v>
      </c>
      <c r="D60" s="18" t="n">
        <f aca="false">$B$11</f>
        <v>0.9</v>
      </c>
      <c r="E60" s="16" t="n">
        <f aca="false">$B$12</f>
        <v>0.03</v>
      </c>
      <c r="F60" s="16" t="n">
        <f aca="false">$B$13+0.02</f>
        <v>0.04</v>
      </c>
      <c r="G60" s="16" t="n">
        <f aca="false">$B$14</f>
        <v>0.08</v>
      </c>
      <c r="H60" s="14" t="n">
        <f aca="false">$B$22</f>
        <v>0.3</v>
      </c>
      <c r="I60" s="17" t="n">
        <f aca="false">(1-H60)*(B60+D60*(1+(1-$B$15)*(H60/(1-H60)))*C60+E60+F60)+H60*MAX(B60+0.005,G60+$B$16*(H60-$B$22)/0.1)*(1-$B$15)</f>
        <v>0.138025</v>
      </c>
    </row>
    <row r="61" customFormat="false" ht="15" hidden="false" customHeight="false" outlineLevel="0" collapsed="false">
      <c r="A61" s="23" t="s">
        <v>75</v>
      </c>
      <c r="B61" s="16" t="n">
        <f aca="false">$B$9</f>
        <v>0.042</v>
      </c>
      <c r="C61" s="16" t="n">
        <f aca="false">$B$10</f>
        <v>0.05</v>
      </c>
      <c r="D61" s="18" t="n">
        <f aca="false">$B$11</f>
        <v>0.9</v>
      </c>
      <c r="E61" s="16" t="n">
        <f aca="false">$B$12</f>
        <v>0.03</v>
      </c>
      <c r="F61" s="16" t="n">
        <f aca="false">$B$13</f>
        <v>0.02</v>
      </c>
      <c r="G61" s="16" t="n">
        <f aca="false">$B$14-0.01</f>
        <v>0.07</v>
      </c>
      <c r="H61" s="14" t="n">
        <f aca="false">$B$22</f>
        <v>0.3</v>
      </c>
      <c r="I61" s="17" t="n">
        <f aca="false">(1-H61)*(B61+D61*(1+(1-$B$15)*(H61/(1-H61)))*C61+E61+F61)+H61*MAX(B61+0.005,G61+$B$16*(H61-$B$22)/0.1)*(1-$B$15)</f>
        <v>0.121775</v>
      </c>
    </row>
    <row r="62" customFormat="false" ht="15" hidden="false" customHeight="false" outlineLevel="0" collapsed="false">
      <c r="A62" s="23" t="s">
        <v>76</v>
      </c>
      <c r="B62" s="16" t="n">
        <f aca="false">$B$9</f>
        <v>0.042</v>
      </c>
      <c r="C62" s="16" t="n">
        <f aca="false">$B$10</f>
        <v>0.05</v>
      </c>
      <c r="D62" s="18" t="n">
        <f aca="false">$B$11</f>
        <v>0.9</v>
      </c>
      <c r="E62" s="16" t="n">
        <f aca="false">$B$12</f>
        <v>0.03</v>
      </c>
      <c r="F62" s="16" t="n">
        <f aca="false">$B$13</f>
        <v>0.02</v>
      </c>
      <c r="G62" s="16" t="n">
        <f aca="false">$B$14+0.01</f>
        <v>0.09</v>
      </c>
      <c r="H62" s="14" t="n">
        <f aca="false">$B$22</f>
        <v>0.3</v>
      </c>
      <c r="I62" s="17" t="n">
        <f aca="false">(1-H62)*(B62+D62*(1+(1-$B$15)*(H62/(1-H62)))*C62+E62+F62)+H62*MAX(B62+0.005,G62+$B$16*(H62-$B$22)/0.1)*(1-$B$15)</f>
        <v>0.126275</v>
      </c>
    </row>
    <row r="63" customFormat="false" ht="15" hidden="false" customHeight="false" outlineLevel="0" collapsed="false">
      <c r="A63" s="23" t="s">
        <v>77</v>
      </c>
      <c r="B63" s="16" t="n">
        <f aca="false">$B$9</f>
        <v>0.042</v>
      </c>
      <c r="C63" s="16" t="n">
        <f aca="false">$B$10</f>
        <v>0.05</v>
      </c>
      <c r="D63" s="18" t="n">
        <f aca="false">$B$11</f>
        <v>0.9</v>
      </c>
      <c r="E63" s="16" t="n">
        <f aca="false">$B$12</f>
        <v>0.03</v>
      </c>
      <c r="F63" s="16" t="n">
        <f aca="false">$B$13</f>
        <v>0.02</v>
      </c>
      <c r="G63" s="16" t="n">
        <f aca="false">$B$14</f>
        <v>0.08</v>
      </c>
      <c r="H63" s="14" t="n">
        <f aca="false">MIN(0.9,MAX(0,$B$22-0.1))</f>
        <v>0.2</v>
      </c>
      <c r="I63" s="17" t="n">
        <f aca="false">(1-H63)*(B63+D63*(1+(1-$B$15)*(H63/(1-H63)))*C63+E63+F63)+H63*MAX(B63+0.005,G63+$B$16*(H63-$B$22)/0.1)*(1-$B$15)</f>
        <v>0.12685</v>
      </c>
    </row>
    <row r="64" customFormat="false" ht="15" hidden="false" customHeight="false" outlineLevel="0" collapsed="false">
      <c r="A64" s="23" t="s">
        <v>78</v>
      </c>
      <c r="B64" s="16" t="n">
        <f aca="false">$B$9</f>
        <v>0.042</v>
      </c>
      <c r="C64" s="16" t="n">
        <f aca="false">$B$10</f>
        <v>0.05</v>
      </c>
      <c r="D64" s="18" t="n">
        <f aca="false">$B$11</f>
        <v>0.9</v>
      </c>
      <c r="E64" s="16" t="n">
        <f aca="false">$B$12</f>
        <v>0.03</v>
      </c>
      <c r="F64" s="16" t="n">
        <f aca="false">$B$13</f>
        <v>0.02</v>
      </c>
      <c r="G64" s="16" t="n">
        <f aca="false">$B$14</f>
        <v>0.08</v>
      </c>
      <c r="H64" s="14" t="n">
        <f aca="false">MIN(0.9,MAX(0,$B$22+0.1))</f>
        <v>0.4</v>
      </c>
      <c r="I64" s="17" t="n">
        <f aca="false">(1-H64)*(B64+D64*(1+(1-$B$15)*(H64/(1-H64)))*C64+E64+F64)+H64*MAX(B64+0.005,G64+$B$16*(H64-$B$22)/0.1)*(1-$B$15)</f>
        <v>0.1227</v>
      </c>
    </row>
    <row r="66" customFormat="false" ht="15" hidden="false" customHeight="false" outlineLevel="0" collapsed="false">
      <c r="A66" s="3" t="s">
        <v>79</v>
      </c>
      <c r="B66" s="7"/>
      <c r="C66" s="2" t="s">
        <v>80</v>
      </c>
    </row>
    <row r="67" customFormat="false" ht="15" hidden="false" customHeight="false" outlineLevel="0" collapsed="false">
      <c r="A67" s="8" t="s">
        <v>81</v>
      </c>
      <c r="B67" s="18" t="n">
        <f aca="false">ABS(I52-I51)*100</f>
        <v>1.4</v>
      </c>
    </row>
    <row r="68" customFormat="false" ht="15" hidden="false" customHeight="false" outlineLevel="0" collapsed="false">
      <c r="A68" s="8" t="s">
        <v>82</v>
      </c>
      <c r="B68" s="18" t="n">
        <f aca="false">ABS(I54-I53)*100</f>
        <v>1.665</v>
      </c>
    </row>
    <row r="69" customFormat="false" ht="15" hidden="false" customHeight="false" outlineLevel="0" collapsed="false">
      <c r="A69" s="8" t="s">
        <v>83</v>
      </c>
      <c r="B69" s="18" t="n">
        <f aca="false">ABS(I56-I55)*100</f>
        <v>1.85</v>
      </c>
    </row>
    <row r="70" customFormat="false" ht="15" hidden="false" customHeight="false" outlineLevel="0" collapsed="false">
      <c r="A70" s="8" t="s">
        <v>84</v>
      </c>
      <c r="B70" s="18" t="n">
        <f aca="false">ABS(I58-I57)*100</f>
        <v>1.4</v>
      </c>
    </row>
    <row r="71" customFormat="false" ht="15" hidden="false" customHeight="false" outlineLevel="0" collapsed="false">
      <c r="A71" s="8" t="s">
        <v>85</v>
      </c>
      <c r="B71" s="18" t="n">
        <f aca="false">ABS(I60-I59)*100</f>
        <v>2.8</v>
      </c>
    </row>
    <row r="72" customFormat="false" ht="15" hidden="false" customHeight="false" outlineLevel="0" collapsed="false">
      <c r="A72" s="8" t="s">
        <v>86</v>
      </c>
      <c r="B72" s="18" t="n">
        <f aca="false">ABS(I62-I61)*100</f>
        <v>0.45</v>
      </c>
    </row>
    <row r="73" customFormat="false" ht="15" hidden="false" customHeight="false" outlineLevel="0" collapsed="false">
      <c r="A73" s="8" t="s">
        <v>87</v>
      </c>
      <c r="B73" s="18" t="n">
        <f aca="false">ABS(I64-I63)*100</f>
        <v>0.415000000000002</v>
      </c>
    </row>
    <row r="75" customFormat="false" ht="15" hidden="false" customHeight="false" outlineLevel="0" collapsed="false">
      <c r="A75" s="3" t="s">
        <v>88</v>
      </c>
      <c r="B75" s="7"/>
    </row>
    <row r="76" customFormat="false" ht="15" hidden="false" customHeight="false" outlineLevel="0" collapsed="false">
      <c r="A76" s="8" t="s">
        <v>89</v>
      </c>
      <c r="B76" s="24" t="n">
        <f aca="false">IF(B28&gt;B18,B17/(B28-B18),0)</f>
        <v>8508375.43206594</v>
      </c>
    </row>
    <row r="77" customFormat="false" ht="15" hidden="false" customHeight="false" outlineLevel="0" collapsed="false">
      <c r="A77" s="8" t="s">
        <v>90</v>
      </c>
      <c r="B77" s="24" t="n">
        <f aca="false">IF(B28-0.01&gt;B18,B17/(B28-0.01-B18),0)</f>
        <v>9520975.90002975</v>
      </c>
    </row>
    <row r="78" customFormat="false" ht="15" hidden="false" customHeight="false" outlineLevel="0" collapsed="false">
      <c r="A78" s="8" t="s">
        <v>91</v>
      </c>
      <c r="B78" s="24" t="n">
        <f aca="false">IF(B28+0.01&gt;B18,B17/(B28+0.01-B18),0)</f>
        <v>7690459.02427301</v>
      </c>
    </row>
    <row r="79" customFormat="false" ht="15" hidden="false" customHeight="false" outlineLevel="0" collapsed="false">
      <c r="A79" s="8" t="s">
        <v>92</v>
      </c>
      <c r="B79" s="14" t="n">
        <f aca="false">IF(B76&gt;0,B77/B76-1,0)</f>
        <v>0.119012198750372</v>
      </c>
    </row>
    <row r="80" customFormat="false" ht="15" hidden="false" customHeight="false" outlineLevel="0" collapsed="false">
      <c r="A80" s="8" t="s">
        <v>93</v>
      </c>
      <c r="B80" s="14" t="n">
        <f aca="false">IF(B76&gt;0,B78/B76-1,0)</f>
        <v>-0.0961307378034126</v>
      </c>
    </row>
  </sheetData>
  <dataValidations count="1">
    <dataValidation allowBlank="false" errorStyle="stop" operator="between" showDropDown="false" showErrorMessage="false" showInputMessage="false" sqref="B7"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2026-09-21T17:45:10Z</dcterms:created>
  <dc:creator>openpyxl</dc:creator>
  <dc:description/>
  <dc:language>en-US</dc:language>
  <cp:lastModifiedBy/>
  <dcterms:modified xsi:type="dcterms:W3CDTF">2026-09-21T17:45:10Z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