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Penalty" sheetId="2" state="visible" r:id="rId4"/>
    <sheet name="Interest" sheetId="3" state="visible" r:id="rId5"/>
    <sheet name="Ra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<sst xmlns="http://schemas.openxmlformats.org/spreadsheetml/2006/main" count="79" uniqueCount="73">
  <si>
    <t xml:space="preserve">IRS penalty and interest workbook</t>
  </si>
  <si>
    <t xml:space="preserve">Calcority. Failure-to-file and failure-to-pay penalties and daily-compounded interest for an unpaid individual income tax balance.</t>
  </si>
  <si>
    <t xml:space="preserve">How to use</t>
  </si>
  <si>
    <t xml:space="preserve">1</t>
  </si>
  <si>
    <t xml:space="preserve">Penalty tab: overwrite the example (a $12,000 balance from a return due April 15, 2026, filed July 10 and paid September 21) with your dates. Leave the filed date blank if the return is not filed yet.</t>
  </si>
  <si>
    <t xml:space="preserve">2</t>
  </si>
  <si>
    <t xml:space="preserve">The tab shows each month of the filing and payment penalties, the interest, and the total to pay on your payoff date. The Interest tab computes daily compounding and covers up to three years after the due date.</t>
  </si>
  <si>
    <t xml:space="preserve">3</t>
  </si>
  <si>
    <t xml:space="preserve">Rates tab: IRS quarterly rates for individuals. Update it each quarter after the IRS announcement. Dates after the last row use the assumed rate.</t>
  </si>
  <si>
    <t xml:space="preserve">Colors</t>
  </si>
  <si>
    <t xml:space="preserve">Blue on yellow = you type. Black = formula. The starting values are illustrations.</t>
  </si>
  <si>
    <t xml:space="preserve">Rules</t>
  </si>
  <si>
    <t xml:space="preserve">Failure to file</t>
  </si>
  <si>
    <t xml:space="preserve">5% of the unpaid tax per month or part of a month, up to 25%; 4.5% in months when the failure-to-pay penalty also applies. A return more than 60 days late has a minimum penalty: the lesser of the indexed dollar amount ($525 for returns due in 2026) or 100% of the tax.</t>
  </si>
  <si>
    <t xml:space="preserve">Failure to pay</t>
  </si>
  <si>
    <t xml:space="preserve">0.5% per month or part of a month, up to 25%; 0.25% during an approved installment agreement if the return was filed on time; 1% after a notice of intent to levy plus 10 days.</t>
  </si>
  <si>
    <t xml:space="preserve">Interest</t>
  </si>
  <si>
    <t xml:space="preserve">The federal short-term rate + 3 points, set each quarter, compounded daily, on the unpaid tax and on the failure-to-file penalty from the due date. Interest on the payment penalty is not modeled.</t>
  </si>
  <si>
    <t xml:space="preserve">Disclaimer</t>
  </si>
  <si>
    <t xml:space="preserve">An estimate, not a bill. The IRS computes on its own records, applies payments in its own order, and may abate penalties. Not tax or legal advice.</t>
  </si>
  <si>
    <t xml:space="preserve">Penalty and interest (example values: overwrite)</t>
  </si>
  <si>
    <t xml:space="preserve">Results</t>
  </si>
  <si>
    <t xml:space="preserve">Tax owed and unpaid at the due date</t>
  </si>
  <si>
    <t xml:space="preserve">Failure-to-file penalty before the minimum and cap</t>
  </si>
  <si>
    <t xml:space="preserve">Original due date</t>
  </si>
  <si>
    <t xml:space="preserve">Failure-to-file penalty (capped at 25%, minimum applied)</t>
  </si>
  <si>
    <t xml:space="preserve">Extension to file? (Yes/No)</t>
  </si>
  <si>
    <t xml:space="preserve">No</t>
  </si>
  <si>
    <t xml:space="preserve">Failure-to-pay penalty (capped at 25%)</t>
  </si>
  <si>
    <t xml:space="preserve">Date the return was filed (blank = not filed)</t>
  </si>
  <si>
    <t xml:space="preserve">Interest on the tax</t>
  </si>
  <si>
    <t xml:space="preserve">Payoff date</t>
  </si>
  <si>
    <t xml:space="preserve">Interest on the failure-to-file penalty</t>
  </si>
  <si>
    <t xml:space="preserve">Payments already made</t>
  </si>
  <si>
    <t xml:space="preserve">Tax still unpaid at the payoff date</t>
  </si>
  <si>
    <t xml:space="preserve">Payment 1: date, amount</t>
  </si>
  <si>
    <t xml:space="preserve">Total penalties</t>
  </si>
  <si>
    <t xml:space="preserve">Payment 2: date, amount</t>
  </si>
  <si>
    <t xml:space="preserve">Total interest</t>
  </si>
  <si>
    <t xml:space="preserve">Payment 3: date, amount</t>
  </si>
  <si>
    <t xml:space="preserve">Total to pay on the payoff date</t>
  </si>
  <si>
    <t xml:space="preserve">Installment agreement approved from (blank = none)</t>
  </si>
  <si>
    <t xml:space="preserve">Extra cost as a share of the tax</t>
  </si>
  <si>
    <t xml:space="preserve">Notice of intent to levy dated (blank = none)</t>
  </si>
  <si>
    <t xml:space="preserve">Total if the penalties were abated (interest on the tax only)</t>
  </si>
  <si>
    <t xml:space="preserve">Minimum late-filing penalty for that year</t>
  </si>
  <si>
    <t xml:space="preserve">Interest rate assumed after 2026 (%)</t>
  </si>
  <si>
    <t xml:space="preserve">Derived</t>
  </si>
  <si>
    <t xml:space="preserve">Due date including extension</t>
  </si>
  <si>
    <t xml:space="preserve">Filing date used for the penalty</t>
  </si>
  <si>
    <t xml:space="preserve">Filed after the extended due date?</t>
  </si>
  <si>
    <t xml:space="preserve">Filed on time (for the 0.25% installment rate)?</t>
  </si>
  <si>
    <t xml:space="preserve">Failure to file, month by month</t>
  </si>
  <si>
    <t xml:space="preserve">Month</t>
  </si>
  <si>
    <t xml:space="preserve">Starts</t>
  </si>
  <si>
    <t xml:space="preserve">Unpaid tax</t>
  </si>
  <si>
    <t xml:space="preserve">Rate</t>
  </si>
  <si>
    <t xml:space="preserve">Penalty</t>
  </si>
  <si>
    <t xml:space="preserve">Failure to pay, month by month (first 60 months)</t>
  </si>
  <si>
    <t xml:space="preserve">Daily interest (up to 3 years after the due date)</t>
  </si>
  <si>
    <t xml:space="preserve">Date</t>
  </si>
  <si>
    <t xml:space="preserve">Tax unpaid</t>
  </si>
  <si>
    <t xml:space="preserve">Interest base</t>
  </si>
  <si>
    <t xml:space="preserve">Day's interest</t>
  </si>
  <si>
    <t xml:space="preserve">Accrued on tax</t>
  </si>
  <si>
    <t xml:space="preserve">Accrued on the filing penalty</t>
  </si>
  <si>
    <t xml:space="preserve">IRS underpayment rates for individuals (percent, by quarter)</t>
  </si>
  <si>
    <t xml:space="preserve">Year</t>
  </si>
  <si>
    <t xml:space="preserve">Q1</t>
  </si>
  <si>
    <t xml:space="preserve">Q2</t>
  </si>
  <si>
    <t xml:space="preserve">Q3</t>
  </si>
  <si>
    <t xml:space="preserve">Q4</t>
  </si>
  <si>
    <t xml:space="preserve">Source: IRS quarterly interest rates (individual overpayment and underpayment rate = federal short-term rate + 3 points). Fourth quarter 2026: 7% (IR-2026-98).</t>
  </si>
</sst>
</file>

<file path=xl/styles.xml><?xml version="1.0" encoding="utf-8"?>
<styleSheet xmlns="http://schemas.openxmlformats.org/spreadsheetml/2006/main">
  <numFmts count="9">
    <numFmt numFmtId="164" formatCode="General"/>
    <numFmt numFmtId="165" formatCode="\$#,##0.00"/>
    <numFmt numFmtId="166" formatCode="yyyy\-mm\-dd"/>
    <numFmt numFmtId="167" formatCode="0.0%"/>
    <numFmt numFmtId="168" formatCode="\$#,##0"/>
    <numFmt numFmtId="169" formatCode="0.00"/>
    <numFmt numFmtId="170" formatCode="0"/>
    <numFmt numFmtId="171" formatCode="0.00%"/>
    <numFmt numFmtId="172" formatCode="\$#,##0.000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center" vertical="bottom" textRotation="0" wrapText="tru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43.5" hidden="false" customHeight="true" outlineLevel="0" collapsed="false">
      <c r="A6" s="5" t="s">
        <v>5</v>
      </c>
      <c r="B6" s="6" t="s">
        <v>6</v>
      </c>
    </row>
    <row r="7" customFormat="false" ht="30" hidden="false" customHeight="true" outlineLevel="0" collapsed="false">
      <c r="A7" s="5" t="s">
        <v>7</v>
      </c>
      <c r="B7" s="6" t="s">
        <v>8</v>
      </c>
    </row>
    <row r="8" customFormat="false" ht="15.75" hidden="false" customHeight="true" outlineLevel="0" collapsed="false">
      <c r="A8" s="5" t="s">
        <v>9</v>
      </c>
      <c r="B8" s="6" t="s">
        <v>10</v>
      </c>
    </row>
    <row r="9" customFormat="false" ht="15.75" hidden="false" customHeight="true" outlineLevel="0" collapsed="false">
      <c r="A9" s="3" t="s">
        <v>11</v>
      </c>
      <c r="B9" s="4"/>
    </row>
    <row r="10" customFormat="false" ht="43.5" hidden="false" customHeight="true" outlineLevel="0" collapsed="false">
      <c r="A10" s="5" t="s">
        <v>12</v>
      </c>
      <c r="B10" s="6" t="s">
        <v>13</v>
      </c>
    </row>
    <row r="11" customFormat="false" ht="30" hidden="false" customHeight="true" outlineLevel="0" collapsed="false">
      <c r="A11" s="5" t="s">
        <v>14</v>
      </c>
      <c r="B11" s="6" t="s">
        <v>15</v>
      </c>
    </row>
    <row r="12" customFormat="false" ht="30" hidden="false" customHeight="true" outlineLevel="0" collapsed="false">
      <c r="A12" s="5" t="s">
        <v>16</v>
      </c>
      <c r="B12" s="6" t="s">
        <v>17</v>
      </c>
    </row>
    <row r="13" customFormat="false" ht="30" hidden="false" customHeight="true" outlineLevel="0" collapsed="false">
      <c r="A13" s="5" t="s">
        <v>18</v>
      </c>
      <c r="B13"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6" min="4" style="0" width="14"/>
    <col collapsed="false" customWidth="true" hidden="false" outlineLevel="0" max="8" min="8" style="0" width="52"/>
    <col collapsed="false" customWidth="true" hidden="false" outlineLevel="0" max="9" min="9" style="0" width="16"/>
  </cols>
  <sheetData>
    <row r="1" customFormat="false" ht="17.35" hidden="false" customHeight="false" outlineLevel="0" collapsed="false">
      <c r="A1" s="1" t="s">
        <v>20</v>
      </c>
    </row>
    <row r="3" customFormat="false" ht="15" hidden="false" customHeight="false" outlineLevel="0" collapsed="false">
      <c r="H3" s="3" t="s">
        <v>21</v>
      </c>
      <c r="I3" s="7"/>
    </row>
    <row r="4" customFormat="false" ht="15" hidden="false" customHeight="false" outlineLevel="0" collapsed="false">
      <c r="A4" s="8" t="s">
        <v>22</v>
      </c>
      <c r="B4" s="9" t="n">
        <v>12000</v>
      </c>
      <c r="H4" s="8" t="s">
        <v>23</v>
      </c>
      <c r="I4" s="10" t="n">
        <f aca="false">SUM(E26:E30)</f>
        <v>1620</v>
      </c>
    </row>
    <row r="5" customFormat="false" ht="15" hidden="false" customHeight="false" outlineLevel="0" collapsed="false">
      <c r="A5" s="8" t="s">
        <v>24</v>
      </c>
      <c r="B5" s="11" t="n">
        <v>46127</v>
      </c>
      <c r="H5" s="8" t="s">
        <v>25</v>
      </c>
      <c r="I5" s="10" t="n">
        <f aca="false">IF(B21=1,IF(AND(B20&gt;B19+60,B4&gt;0),MAX(MIN(I4,0.25*B4),MIN(B15,B4)),MIN(I4,0.25*B4)),0)</f>
        <v>1620</v>
      </c>
    </row>
    <row r="6" customFormat="false" ht="15" hidden="false" customHeight="false" outlineLevel="0" collapsed="false">
      <c r="A6" s="8" t="s">
        <v>26</v>
      </c>
      <c r="B6" s="12" t="s">
        <v>27</v>
      </c>
      <c r="H6" s="8" t="s">
        <v>28</v>
      </c>
      <c r="I6" s="10" t="n">
        <f aca="false">MIN(SUM(E35:E94),0.25*B4)</f>
        <v>360</v>
      </c>
    </row>
    <row r="7" customFormat="false" ht="15" hidden="false" customHeight="false" outlineLevel="0" collapsed="false">
      <c r="A7" s="8" t="s">
        <v>29</v>
      </c>
      <c r="B7" s="11" t="n">
        <v>46213</v>
      </c>
      <c r="H7" s="8" t="s">
        <v>30</v>
      </c>
      <c r="I7" s="10" t="n">
        <f aca="false">INDEX(Interest!F5:F1099,COUNTIF(Interest!A5:A1099,"&lt;="&amp;B8))</f>
        <v>345.789278153858</v>
      </c>
    </row>
    <row r="8" customFormat="false" ht="15" hidden="false" customHeight="false" outlineLevel="0" collapsed="false">
      <c r="A8" s="8" t="s">
        <v>31</v>
      </c>
      <c r="B8" s="11" t="n">
        <v>46286</v>
      </c>
      <c r="H8" s="8" t="s">
        <v>32</v>
      </c>
      <c r="I8" s="10" t="n">
        <f aca="false">INDEX(Interest!G5:G1099,COUNTIF(Interest!A5:A1099,"&lt;="&amp;B8))</f>
        <v>46.6815525507708</v>
      </c>
    </row>
    <row r="9" customFormat="false" ht="15" hidden="false" customHeight="false" outlineLevel="0" collapsed="false">
      <c r="A9" s="5" t="s">
        <v>33</v>
      </c>
      <c r="H9" s="8" t="s">
        <v>34</v>
      </c>
      <c r="I9" s="10" t="n">
        <f aca="false">MAX(0,B4-SUMIFS(C10:C12,B10:B12,"&lt;="&amp;B8))</f>
        <v>12000</v>
      </c>
    </row>
    <row r="10" customFormat="false" ht="15" hidden="false" customHeight="false" outlineLevel="0" collapsed="false">
      <c r="A10" s="8" t="s">
        <v>35</v>
      </c>
      <c r="B10" s="11"/>
      <c r="C10" s="9"/>
      <c r="H10" s="8" t="s">
        <v>36</v>
      </c>
      <c r="I10" s="10" t="n">
        <f aca="false">I5+I6</f>
        <v>1980</v>
      </c>
    </row>
    <row r="11" customFormat="false" ht="15" hidden="false" customHeight="false" outlineLevel="0" collapsed="false">
      <c r="A11" s="8" t="s">
        <v>37</v>
      </c>
      <c r="B11" s="11"/>
      <c r="C11" s="9"/>
      <c r="H11" s="8" t="s">
        <v>38</v>
      </c>
      <c r="I11" s="10" t="n">
        <f aca="false">I7+I8</f>
        <v>392.470830704629</v>
      </c>
    </row>
    <row r="12" customFormat="false" ht="15" hidden="false" customHeight="false" outlineLevel="0" collapsed="false">
      <c r="A12" s="8" t="s">
        <v>39</v>
      </c>
      <c r="B12" s="11"/>
      <c r="C12" s="9"/>
      <c r="H12" s="5" t="s">
        <v>40</v>
      </c>
      <c r="I12" s="13" t="n">
        <f aca="false">I9+I10+I11</f>
        <v>14372.4708307046</v>
      </c>
    </row>
    <row r="13" customFormat="false" ht="15" hidden="false" customHeight="false" outlineLevel="0" collapsed="false">
      <c r="A13" s="8" t="s">
        <v>41</v>
      </c>
      <c r="B13" s="11"/>
      <c r="H13" s="8" t="s">
        <v>42</v>
      </c>
      <c r="I13" s="14" t="n">
        <f aca="false">IF(B4&gt;0,(I10+I11)/B4,0)</f>
        <v>0.197705902558719</v>
      </c>
    </row>
    <row r="14" customFormat="false" ht="15" hidden="false" customHeight="false" outlineLevel="0" collapsed="false">
      <c r="A14" s="8" t="s">
        <v>43</v>
      </c>
      <c r="B14" s="11"/>
      <c r="H14" s="8" t="s">
        <v>44</v>
      </c>
      <c r="I14" s="10" t="n">
        <f aca="false">I9+I7</f>
        <v>12345.7892781539</v>
      </c>
    </row>
    <row r="15" customFormat="false" ht="15" hidden="false" customHeight="false" outlineLevel="0" collapsed="false">
      <c r="A15" s="8" t="s">
        <v>45</v>
      </c>
      <c r="B15" s="15" t="n">
        <v>525</v>
      </c>
    </row>
    <row r="16" customFormat="false" ht="15" hidden="false" customHeight="false" outlineLevel="0" collapsed="false">
      <c r="A16" s="8" t="s">
        <v>46</v>
      </c>
      <c r="B16" s="16" t="n">
        <v>7</v>
      </c>
    </row>
    <row r="18" customFormat="false" ht="15" hidden="false" customHeight="false" outlineLevel="0" collapsed="false">
      <c r="A18" s="3" t="s">
        <v>47</v>
      </c>
    </row>
    <row r="19" customFormat="false" ht="15" hidden="false" customHeight="false" outlineLevel="0" collapsed="false">
      <c r="A19" s="8" t="s">
        <v>48</v>
      </c>
      <c r="B19" s="17" t="n">
        <f aca="false">IF(B6="Yes",EDATE(B5,6),B5)</f>
        <v>46127</v>
      </c>
    </row>
    <row r="20" customFormat="false" ht="15" hidden="false" customHeight="false" outlineLevel="0" collapsed="false">
      <c r="A20" s="8" t="s">
        <v>49</v>
      </c>
      <c r="B20" s="17" t="n">
        <f aca="false">IF(B7="",B8,B7)</f>
        <v>46213</v>
      </c>
    </row>
    <row r="21" customFormat="false" ht="15" hidden="false" customHeight="false" outlineLevel="0" collapsed="false">
      <c r="A21" s="8" t="s">
        <v>50</v>
      </c>
      <c r="B21" s="18" t="n">
        <f aca="false">IF(B20&gt;B19,1,0)</f>
        <v>1</v>
      </c>
    </row>
    <row r="22" customFormat="false" ht="15" hidden="false" customHeight="false" outlineLevel="0" collapsed="false">
      <c r="A22" s="8" t="s">
        <v>51</v>
      </c>
      <c r="B22" s="18" t="n">
        <f aca="false">IF(AND(B7&lt;&gt;"",B7&lt;=B19),1,0)</f>
        <v>0</v>
      </c>
    </row>
    <row r="24" customFormat="false" ht="15" hidden="false" customHeight="false" outlineLevel="0" collapsed="false">
      <c r="A24" s="3" t="s">
        <v>52</v>
      </c>
    </row>
    <row r="25" customFormat="false" ht="15" hidden="false" customHeight="false" outlineLevel="0" collapsed="false">
      <c r="A25" s="19" t="s">
        <v>53</v>
      </c>
      <c r="B25" s="19" t="s">
        <v>54</v>
      </c>
      <c r="C25" s="19" t="s">
        <v>55</v>
      </c>
      <c r="D25" s="19" t="s">
        <v>56</v>
      </c>
      <c r="E25" s="19" t="s">
        <v>57</v>
      </c>
    </row>
    <row r="26" customFormat="false" ht="15" hidden="false" customHeight="false" outlineLevel="0" collapsed="false">
      <c r="A26" s="20" t="n">
        <v>1</v>
      </c>
      <c r="B26" s="17" t="n">
        <f aca="false">EDATE($B$19,0)</f>
        <v>46127</v>
      </c>
      <c r="C26" s="10" t="n">
        <f aca="false">IF(AND($B$21=1,$B$20&gt;B26),MAX(0,$B$4-SUMIFS($C$10:$C$12,$B$10:$B$12,"&lt;="&amp;B26)),0)</f>
        <v>12000</v>
      </c>
      <c r="D26" s="21" t="n">
        <f aca="false">IF(AND(C26&gt;0,B26&gt;=$B$5),0.045,0.05)</f>
        <v>0.045</v>
      </c>
      <c r="E26" s="10" t="n">
        <f aca="false">C26*D26</f>
        <v>540</v>
      </c>
    </row>
    <row r="27" customFormat="false" ht="15" hidden="false" customHeight="false" outlineLevel="0" collapsed="false">
      <c r="A27" s="20" t="n">
        <v>2</v>
      </c>
      <c r="B27" s="17" t="n">
        <f aca="false">EDATE($B$19,1)</f>
        <v>46157</v>
      </c>
      <c r="C27" s="10" t="n">
        <f aca="false">IF(AND($B$21=1,$B$20&gt;B27),MAX(0,$B$4-SUMIFS($C$10:$C$12,$B$10:$B$12,"&lt;="&amp;B27)),0)</f>
        <v>12000</v>
      </c>
      <c r="D27" s="21" t="n">
        <f aca="false">IF(AND(C27&gt;0,B27&gt;=$B$5),0.045,0.05)</f>
        <v>0.045</v>
      </c>
      <c r="E27" s="10" t="n">
        <f aca="false">C27*D27</f>
        <v>540</v>
      </c>
    </row>
    <row r="28" customFormat="false" ht="15" hidden="false" customHeight="false" outlineLevel="0" collapsed="false">
      <c r="A28" s="20" t="n">
        <v>3</v>
      </c>
      <c r="B28" s="17" t="n">
        <f aca="false">EDATE($B$19,2)</f>
        <v>46188</v>
      </c>
      <c r="C28" s="10" t="n">
        <f aca="false">IF(AND($B$21=1,$B$20&gt;B28),MAX(0,$B$4-SUMIFS($C$10:$C$12,$B$10:$B$12,"&lt;="&amp;B28)),0)</f>
        <v>12000</v>
      </c>
      <c r="D28" s="21" t="n">
        <f aca="false">IF(AND(C28&gt;0,B28&gt;=$B$5),0.045,0.05)</f>
        <v>0.045</v>
      </c>
      <c r="E28" s="10" t="n">
        <f aca="false">C28*D28</f>
        <v>540</v>
      </c>
    </row>
    <row r="29" customFormat="false" ht="15" hidden="false" customHeight="false" outlineLevel="0" collapsed="false">
      <c r="A29" s="20" t="n">
        <v>4</v>
      </c>
      <c r="B29" s="17" t="n">
        <f aca="false">EDATE($B$19,3)</f>
        <v>46218</v>
      </c>
      <c r="C29" s="10" t="n">
        <f aca="false">IF(AND($B$21=1,$B$20&gt;B29),MAX(0,$B$4-SUMIFS($C$10:$C$12,$B$10:$B$12,"&lt;="&amp;B29)),0)</f>
        <v>0</v>
      </c>
      <c r="D29" s="21" t="n">
        <f aca="false">IF(AND(C29&gt;0,B29&gt;=$B$5),0.045,0.05)</f>
        <v>0.05</v>
      </c>
      <c r="E29" s="10" t="n">
        <f aca="false">C29*D29</f>
        <v>0</v>
      </c>
    </row>
    <row r="30" customFormat="false" ht="15" hidden="false" customHeight="false" outlineLevel="0" collapsed="false">
      <c r="A30" s="20" t="n">
        <v>5</v>
      </c>
      <c r="B30" s="17" t="n">
        <f aca="false">EDATE($B$19,4)</f>
        <v>46249</v>
      </c>
      <c r="C30" s="10" t="n">
        <f aca="false">IF(AND($B$21=1,$B$20&gt;B30),MAX(0,$B$4-SUMIFS($C$10:$C$12,$B$10:$B$12,"&lt;="&amp;B30)),0)</f>
        <v>0</v>
      </c>
      <c r="D30" s="21" t="n">
        <f aca="false">IF(AND(C30&gt;0,B30&gt;=$B$5),0.045,0.05)</f>
        <v>0.05</v>
      </c>
      <c r="E30" s="10" t="n">
        <f aca="false">C30*D30</f>
        <v>0</v>
      </c>
    </row>
    <row r="33" customFormat="false" ht="15" hidden="false" customHeight="false" outlineLevel="0" collapsed="false">
      <c r="A33" s="3" t="s">
        <v>58</v>
      </c>
    </row>
    <row r="34" customFormat="false" ht="15" hidden="false" customHeight="false" outlineLevel="0" collapsed="false">
      <c r="A34" s="19" t="s">
        <v>53</v>
      </c>
      <c r="B34" s="19" t="s">
        <v>54</v>
      </c>
      <c r="C34" s="19" t="s">
        <v>55</v>
      </c>
      <c r="D34" s="19" t="s">
        <v>56</v>
      </c>
      <c r="E34" s="19" t="s">
        <v>57</v>
      </c>
    </row>
    <row r="35" customFormat="false" ht="15" hidden="false" customHeight="false" outlineLevel="0" collapsed="false">
      <c r="A35" s="20" t="n">
        <v>1</v>
      </c>
      <c r="B35" s="17" t="n">
        <f aca="false">EDATE($B$5,0)</f>
        <v>46127</v>
      </c>
      <c r="C35" s="10" t="n">
        <f aca="false">IF($B$8&gt;B35,MAX(0,$B$4-SUMIFS($C$10:$C$12,$B$10:$B$12,"&lt;="&amp;B35)),0)</f>
        <v>12000</v>
      </c>
      <c r="D35" s="21" t="n">
        <f aca="false">IF(AND($B$14&lt;&gt;"",B35&gt;=$B$14+10),0.01,IF(AND($B$13&lt;&gt;"",B35&gt;=$B$13,$B$22=1),0.0025,0.005))</f>
        <v>0.005</v>
      </c>
      <c r="E35" s="10" t="n">
        <f aca="false">C35*D35</f>
        <v>60</v>
      </c>
    </row>
    <row r="36" customFormat="false" ht="15" hidden="false" customHeight="false" outlineLevel="0" collapsed="false">
      <c r="A36" s="20" t="n">
        <v>2</v>
      </c>
      <c r="B36" s="17" t="n">
        <f aca="false">EDATE($B$5,1)</f>
        <v>46157</v>
      </c>
      <c r="C36" s="10" t="n">
        <f aca="false">IF($B$8&gt;B36,MAX(0,$B$4-SUMIFS($C$10:$C$12,$B$10:$B$12,"&lt;="&amp;B36)),0)</f>
        <v>12000</v>
      </c>
      <c r="D36" s="21" t="n">
        <f aca="false">IF(AND($B$14&lt;&gt;"",B36&gt;=$B$14+10),0.01,IF(AND($B$13&lt;&gt;"",B36&gt;=$B$13,$B$22=1),0.0025,0.005))</f>
        <v>0.005</v>
      </c>
      <c r="E36" s="10" t="n">
        <f aca="false">C36*D36</f>
        <v>60</v>
      </c>
    </row>
    <row r="37" customFormat="false" ht="15" hidden="false" customHeight="false" outlineLevel="0" collapsed="false">
      <c r="A37" s="20" t="n">
        <v>3</v>
      </c>
      <c r="B37" s="17" t="n">
        <f aca="false">EDATE($B$5,2)</f>
        <v>46188</v>
      </c>
      <c r="C37" s="10" t="n">
        <f aca="false">IF($B$8&gt;B37,MAX(0,$B$4-SUMIFS($C$10:$C$12,$B$10:$B$12,"&lt;="&amp;B37)),0)</f>
        <v>12000</v>
      </c>
      <c r="D37" s="21" t="n">
        <f aca="false">IF(AND($B$14&lt;&gt;"",B37&gt;=$B$14+10),0.01,IF(AND($B$13&lt;&gt;"",B37&gt;=$B$13,$B$22=1),0.0025,0.005))</f>
        <v>0.005</v>
      </c>
      <c r="E37" s="10" t="n">
        <f aca="false">C37*D37</f>
        <v>60</v>
      </c>
    </row>
    <row r="38" customFormat="false" ht="15" hidden="false" customHeight="false" outlineLevel="0" collapsed="false">
      <c r="A38" s="20" t="n">
        <v>4</v>
      </c>
      <c r="B38" s="17" t="n">
        <f aca="false">EDATE($B$5,3)</f>
        <v>46218</v>
      </c>
      <c r="C38" s="10" t="n">
        <f aca="false">IF($B$8&gt;B38,MAX(0,$B$4-SUMIFS($C$10:$C$12,$B$10:$B$12,"&lt;="&amp;B38)),0)</f>
        <v>12000</v>
      </c>
      <c r="D38" s="21" t="n">
        <f aca="false">IF(AND($B$14&lt;&gt;"",B38&gt;=$B$14+10),0.01,IF(AND($B$13&lt;&gt;"",B38&gt;=$B$13,$B$22=1),0.0025,0.005))</f>
        <v>0.005</v>
      </c>
      <c r="E38" s="10" t="n">
        <f aca="false">C38*D38</f>
        <v>60</v>
      </c>
    </row>
    <row r="39" customFormat="false" ht="15" hidden="false" customHeight="false" outlineLevel="0" collapsed="false">
      <c r="A39" s="20" t="n">
        <v>5</v>
      </c>
      <c r="B39" s="17" t="n">
        <f aca="false">EDATE($B$5,4)</f>
        <v>46249</v>
      </c>
      <c r="C39" s="10" t="n">
        <f aca="false">IF($B$8&gt;B39,MAX(0,$B$4-SUMIFS($C$10:$C$12,$B$10:$B$12,"&lt;="&amp;B39)),0)</f>
        <v>12000</v>
      </c>
      <c r="D39" s="21" t="n">
        <f aca="false">IF(AND($B$14&lt;&gt;"",B39&gt;=$B$14+10),0.01,IF(AND($B$13&lt;&gt;"",B39&gt;=$B$13,$B$22=1),0.0025,0.005))</f>
        <v>0.005</v>
      </c>
      <c r="E39" s="10" t="n">
        <f aca="false">C39*D39</f>
        <v>60</v>
      </c>
    </row>
    <row r="40" customFormat="false" ht="15" hidden="false" customHeight="false" outlineLevel="0" collapsed="false">
      <c r="A40" s="20" t="n">
        <v>6</v>
      </c>
      <c r="B40" s="17" t="n">
        <f aca="false">EDATE($B$5,5)</f>
        <v>46280</v>
      </c>
      <c r="C40" s="10" t="n">
        <f aca="false">IF($B$8&gt;B40,MAX(0,$B$4-SUMIFS($C$10:$C$12,$B$10:$B$12,"&lt;="&amp;B40)),0)</f>
        <v>12000</v>
      </c>
      <c r="D40" s="21" t="n">
        <f aca="false">IF(AND($B$14&lt;&gt;"",B40&gt;=$B$14+10),0.01,IF(AND($B$13&lt;&gt;"",B40&gt;=$B$13,$B$22=1),0.0025,0.005))</f>
        <v>0.005</v>
      </c>
      <c r="E40" s="10" t="n">
        <f aca="false">C40*D40</f>
        <v>60</v>
      </c>
    </row>
    <row r="41" customFormat="false" ht="15" hidden="false" customHeight="false" outlineLevel="0" collapsed="false">
      <c r="A41" s="20" t="n">
        <v>7</v>
      </c>
      <c r="B41" s="17" t="n">
        <f aca="false">EDATE($B$5,6)</f>
        <v>46310</v>
      </c>
      <c r="C41" s="10" t="n">
        <f aca="false">IF($B$8&gt;B41,MAX(0,$B$4-SUMIFS($C$10:$C$12,$B$10:$B$12,"&lt;="&amp;B41)),0)</f>
        <v>0</v>
      </c>
      <c r="D41" s="21" t="n">
        <f aca="false">IF(AND($B$14&lt;&gt;"",B41&gt;=$B$14+10),0.01,IF(AND($B$13&lt;&gt;"",B41&gt;=$B$13,$B$22=1),0.0025,0.005))</f>
        <v>0.005</v>
      </c>
      <c r="E41" s="10" t="n">
        <f aca="false">C41*D41</f>
        <v>0</v>
      </c>
    </row>
    <row r="42" customFormat="false" ht="15" hidden="false" customHeight="false" outlineLevel="0" collapsed="false">
      <c r="A42" s="20" t="n">
        <v>8</v>
      </c>
      <c r="B42" s="17" t="n">
        <f aca="false">EDATE($B$5,7)</f>
        <v>46341</v>
      </c>
      <c r="C42" s="10" t="n">
        <f aca="false">IF($B$8&gt;B42,MAX(0,$B$4-SUMIFS($C$10:$C$12,$B$10:$B$12,"&lt;="&amp;B42)),0)</f>
        <v>0</v>
      </c>
      <c r="D42" s="21" t="n">
        <f aca="false">IF(AND($B$14&lt;&gt;"",B42&gt;=$B$14+10),0.01,IF(AND($B$13&lt;&gt;"",B42&gt;=$B$13,$B$22=1),0.0025,0.005))</f>
        <v>0.005</v>
      </c>
      <c r="E42" s="10" t="n">
        <f aca="false">C42*D42</f>
        <v>0</v>
      </c>
    </row>
    <row r="43" customFormat="false" ht="15" hidden="false" customHeight="false" outlineLevel="0" collapsed="false">
      <c r="A43" s="20" t="n">
        <v>9</v>
      </c>
      <c r="B43" s="17" t="n">
        <f aca="false">EDATE($B$5,8)</f>
        <v>46371</v>
      </c>
      <c r="C43" s="10" t="n">
        <f aca="false">IF($B$8&gt;B43,MAX(0,$B$4-SUMIFS($C$10:$C$12,$B$10:$B$12,"&lt;="&amp;B43)),0)</f>
        <v>0</v>
      </c>
      <c r="D43" s="21" t="n">
        <f aca="false">IF(AND($B$14&lt;&gt;"",B43&gt;=$B$14+10),0.01,IF(AND($B$13&lt;&gt;"",B43&gt;=$B$13,$B$22=1),0.0025,0.005))</f>
        <v>0.005</v>
      </c>
      <c r="E43" s="10" t="n">
        <f aca="false">C43*D43</f>
        <v>0</v>
      </c>
    </row>
    <row r="44" customFormat="false" ht="15" hidden="false" customHeight="false" outlineLevel="0" collapsed="false">
      <c r="A44" s="20" t="n">
        <v>10</v>
      </c>
      <c r="B44" s="17" t="n">
        <f aca="false">EDATE($B$5,9)</f>
        <v>46402</v>
      </c>
      <c r="C44" s="10" t="n">
        <f aca="false">IF($B$8&gt;B44,MAX(0,$B$4-SUMIFS($C$10:$C$12,$B$10:$B$12,"&lt;="&amp;B44)),0)</f>
        <v>0</v>
      </c>
      <c r="D44" s="21" t="n">
        <f aca="false">IF(AND($B$14&lt;&gt;"",B44&gt;=$B$14+10),0.01,IF(AND($B$13&lt;&gt;"",B44&gt;=$B$13,$B$22=1),0.0025,0.005))</f>
        <v>0.005</v>
      </c>
      <c r="E44" s="10" t="n">
        <f aca="false">C44*D44</f>
        <v>0</v>
      </c>
    </row>
    <row r="45" customFormat="false" ht="15" hidden="false" customHeight="false" outlineLevel="0" collapsed="false">
      <c r="A45" s="20" t="n">
        <v>11</v>
      </c>
      <c r="B45" s="17" t="n">
        <f aca="false">EDATE($B$5,10)</f>
        <v>46433</v>
      </c>
      <c r="C45" s="10" t="n">
        <f aca="false">IF($B$8&gt;B45,MAX(0,$B$4-SUMIFS($C$10:$C$12,$B$10:$B$12,"&lt;="&amp;B45)),0)</f>
        <v>0</v>
      </c>
      <c r="D45" s="21" t="n">
        <f aca="false">IF(AND($B$14&lt;&gt;"",B45&gt;=$B$14+10),0.01,IF(AND($B$13&lt;&gt;"",B45&gt;=$B$13,$B$22=1),0.0025,0.005))</f>
        <v>0.005</v>
      </c>
      <c r="E45" s="10" t="n">
        <f aca="false">C45*D45</f>
        <v>0</v>
      </c>
    </row>
    <row r="46" customFormat="false" ht="15" hidden="false" customHeight="false" outlineLevel="0" collapsed="false">
      <c r="A46" s="20" t="n">
        <v>12</v>
      </c>
      <c r="B46" s="17" t="n">
        <f aca="false">EDATE($B$5,11)</f>
        <v>46461</v>
      </c>
      <c r="C46" s="10" t="n">
        <f aca="false">IF($B$8&gt;B46,MAX(0,$B$4-SUMIFS($C$10:$C$12,$B$10:$B$12,"&lt;="&amp;B46)),0)</f>
        <v>0</v>
      </c>
      <c r="D46" s="21" t="n">
        <f aca="false">IF(AND($B$14&lt;&gt;"",B46&gt;=$B$14+10),0.01,IF(AND($B$13&lt;&gt;"",B46&gt;=$B$13,$B$22=1),0.0025,0.005))</f>
        <v>0.005</v>
      </c>
      <c r="E46" s="10" t="n">
        <f aca="false">C46*D46</f>
        <v>0</v>
      </c>
    </row>
    <row r="47" customFormat="false" ht="15" hidden="false" customHeight="false" outlineLevel="0" collapsed="false">
      <c r="A47" s="20" t="n">
        <v>13</v>
      </c>
      <c r="B47" s="17" t="n">
        <f aca="false">EDATE($B$5,12)</f>
        <v>46492</v>
      </c>
      <c r="C47" s="10" t="n">
        <f aca="false">IF($B$8&gt;B47,MAX(0,$B$4-SUMIFS($C$10:$C$12,$B$10:$B$12,"&lt;="&amp;B47)),0)</f>
        <v>0</v>
      </c>
      <c r="D47" s="21" t="n">
        <f aca="false">IF(AND($B$14&lt;&gt;"",B47&gt;=$B$14+10),0.01,IF(AND($B$13&lt;&gt;"",B47&gt;=$B$13,$B$22=1),0.0025,0.005))</f>
        <v>0.005</v>
      </c>
      <c r="E47" s="10" t="n">
        <f aca="false">C47*D47</f>
        <v>0</v>
      </c>
    </row>
    <row r="48" customFormat="false" ht="15" hidden="false" customHeight="false" outlineLevel="0" collapsed="false">
      <c r="A48" s="20" t="n">
        <v>14</v>
      </c>
      <c r="B48" s="17" t="n">
        <f aca="false">EDATE($B$5,13)</f>
        <v>46522</v>
      </c>
      <c r="C48" s="10" t="n">
        <f aca="false">IF($B$8&gt;B48,MAX(0,$B$4-SUMIFS($C$10:$C$12,$B$10:$B$12,"&lt;="&amp;B48)),0)</f>
        <v>0</v>
      </c>
      <c r="D48" s="21" t="n">
        <f aca="false">IF(AND($B$14&lt;&gt;"",B48&gt;=$B$14+10),0.01,IF(AND($B$13&lt;&gt;"",B48&gt;=$B$13,$B$22=1),0.0025,0.005))</f>
        <v>0.005</v>
      </c>
      <c r="E48" s="10" t="n">
        <f aca="false">C48*D48</f>
        <v>0</v>
      </c>
    </row>
    <row r="49" customFormat="false" ht="15" hidden="false" customHeight="false" outlineLevel="0" collapsed="false">
      <c r="A49" s="20" t="n">
        <v>15</v>
      </c>
      <c r="B49" s="17" t="n">
        <f aca="false">EDATE($B$5,14)</f>
        <v>46553</v>
      </c>
      <c r="C49" s="10" t="n">
        <f aca="false">IF($B$8&gt;B49,MAX(0,$B$4-SUMIFS($C$10:$C$12,$B$10:$B$12,"&lt;="&amp;B49)),0)</f>
        <v>0</v>
      </c>
      <c r="D49" s="21" t="n">
        <f aca="false">IF(AND($B$14&lt;&gt;"",B49&gt;=$B$14+10),0.01,IF(AND($B$13&lt;&gt;"",B49&gt;=$B$13,$B$22=1),0.0025,0.005))</f>
        <v>0.005</v>
      </c>
      <c r="E49" s="10" t="n">
        <f aca="false">C49*D49</f>
        <v>0</v>
      </c>
    </row>
    <row r="50" customFormat="false" ht="15" hidden="false" customHeight="false" outlineLevel="0" collapsed="false">
      <c r="A50" s="20" t="n">
        <v>16</v>
      </c>
      <c r="B50" s="17" t="n">
        <f aca="false">EDATE($B$5,15)</f>
        <v>46583</v>
      </c>
      <c r="C50" s="10" t="n">
        <f aca="false">IF($B$8&gt;B50,MAX(0,$B$4-SUMIFS($C$10:$C$12,$B$10:$B$12,"&lt;="&amp;B50)),0)</f>
        <v>0</v>
      </c>
      <c r="D50" s="21" t="n">
        <f aca="false">IF(AND($B$14&lt;&gt;"",B50&gt;=$B$14+10),0.01,IF(AND($B$13&lt;&gt;"",B50&gt;=$B$13,$B$22=1),0.0025,0.005))</f>
        <v>0.005</v>
      </c>
      <c r="E50" s="10" t="n">
        <f aca="false">C50*D50</f>
        <v>0</v>
      </c>
    </row>
    <row r="51" customFormat="false" ht="15" hidden="false" customHeight="false" outlineLevel="0" collapsed="false">
      <c r="A51" s="20" t="n">
        <v>17</v>
      </c>
      <c r="B51" s="17" t="n">
        <f aca="false">EDATE($B$5,16)</f>
        <v>46614</v>
      </c>
      <c r="C51" s="10" t="n">
        <f aca="false">IF($B$8&gt;B51,MAX(0,$B$4-SUMIFS($C$10:$C$12,$B$10:$B$12,"&lt;="&amp;B51)),0)</f>
        <v>0</v>
      </c>
      <c r="D51" s="21" t="n">
        <f aca="false">IF(AND($B$14&lt;&gt;"",B51&gt;=$B$14+10),0.01,IF(AND($B$13&lt;&gt;"",B51&gt;=$B$13,$B$22=1),0.0025,0.005))</f>
        <v>0.005</v>
      </c>
      <c r="E51" s="10" t="n">
        <f aca="false">C51*D51</f>
        <v>0</v>
      </c>
    </row>
    <row r="52" customFormat="false" ht="15" hidden="false" customHeight="false" outlineLevel="0" collapsed="false">
      <c r="A52" s="20" t="n">
        <v>18</v>
      </c>
      <c r="B52" s="17" t="n">
        <f aca="false">EDATE($B$5,17)</f>
        <v>46645</v>
      </c>
      <c r="C52" s="10" t="n">
        <f aca="false">IF($B$8&gt;B52,MAX(0,$B$4-SUMIFS($C$10:$C$12,$B$10:$B$12,"&lt;="&amp;B52)),0)</f>
        <v>0</v>
      </c>
      <c r="D52" s="21" t="n">
        <f aca="false">IF(AND($B$14&lt;&gt;"",B52&gt;=$B$14+10),0.01,IF(AND($B$13&lt;&gt;"",B52&gt;=$B$13,$B$22=1),0.0025,0.005))</f>
        <v>0.005</v>
      </c>
      <c r="E52" s="10" t="n">
        <f aca="false">C52*D52</f>
        <v>0</v>
      </c>
    </row>
    <row r="53" customFormat="false" ht="15" hidden="false" customHeight="false" outlineLevel="0" collapsed="false">
      <c r="A53" s="20" t="n">
        <v>19</v>
      </c>
      <c r="B53" s="17" t="n">
        <f aca="false">EDATE($B$5,18)</f>
        <v>46675</v>
      </c>
      <c r="C53" s="10" t="n">
        <f aca="false">IF($B$8&gt;B53,MAX(0,$B$4-SUMIFS($C$10:$C$12,$B$10:$B$12,"&lt;="&amp;B53)),0)</f>
        <v>0</v>
      </c>
      <c r="D53" s="21" t="n">
        <f aca="false">IF(AND($B$14&lt;&gt;"",B53&gt;=$B$14+10),0.01,IF(AND($B$13&lt;&gt;"",B53&gt;=$B$13,$B$22=1),0.0025,0.005))</f>
        <v>0.005</v>
      </c>
      <c r="E53" s="10" t="n">
        <f aca="false">C53*D53</f>
        <v>0</v>
      </c>
    </row>
    <row r="54" customFormat="false" ht="15" hidden="false" customHeight="false" outlineLevel="0" collapsed="false">
      <c r="A54" s="20" t="n">
        <v>20</v>
      </c>
      <c r="B54" s="17" t="n">
        <f aca="false">EDATE($B$5,19)</f>
        <v>46706</v>
      </c>
      <c r="C54" s="10" t="n">
        <f aca="false">IF($B$8&gt;B54,MAX(0,$B$4-SUMIFS($C$10:$C$12,$B$10:$B$12,"&lt;="&amp;B54)),0)</f>
        <v>0</v>
      </c>
      <c r="D54" s="21" t="n">
        <f aca="false">IF(AND($B$14&lt;&gt;"",B54&gt;=$B$14+10),0.01,IF(AND($B$13&lt;&gt;"",B54&gt;=$B$13,$B$22=1),0.0025,0.005))</f>
        <v>0.005</v>
      </c>
      <c r="E54" s="10" t="n">
        <f aca="false">C54*D54</f>
        <v>0</v>
      </c>
    </row>
    <row r="55" customFormat="false" ht="15" hidden="false" customHeight="false" outlineLevel="0" collapsed="false">
      <c r="A55" s="20" t="n">
        <v>21</v>
      </c>
      <c r="B55" s="17" t="n">
        <f aca="false">EDATE($B$5,20)</f>
        <v>46736</v>
      </c>
      <c r="C55" s="10" t="n">
        <f aca="false">IF($B$8&gt;B55,MAX(0,$B$4-SUMIFS($C$10:$C$12,$B$10:$B$12,"&lt;="&amp;B55)),0)</f>
        <v>0</v>
      </c>
      <c r="D55" s="21" t="n">
        <f aca="false">IF(AND($B$14&lt;&gt;"",B55&gt;=$B$14+10),0.01,IF(AND($B$13&lt;&gt;"",B55&gt;=$B$13,$B$22=1),0.0025,0.005))</f>
        <v>0.005</v>
      </c>
      <c r="E55" s="10" t="n">
        <f aca="false">C55*D55</f>
        <v>0</v>
      </c>
    </row>
    <row r="56" customFormat="false" ht="15" hidden="false" customHeight="false" outlineLevel="0" collapsed="false">
      <c r="A56" s="20" t="n">
        <v>22</v>
      </c>
      <c r="B56" s="17" t="n">
        <f aca="false">EDATE($B$5,21)</f>
        <v>46767</v>
      </c>
      <c r="C56" s="10" t="n">
        <f aca="false">IF($B$8&gt;B56,MAX(0,$B$4-SUMIFS($C$10:$C$12,$B$10:$B$12,"&lt;="&amp;B56)),0)</f>
        <v>0</v>
      </c>
      <c r="D56" s="21" t="n">
        <f aca="false">IF(AND($B$14&lt;&gt;"",B56&gt;=$B$14+10),0.01,IF(AND($B$13&lt;&gt;"",B56&gt;=$B$13,$B$22=1),0.0025,0.005))</f>
        <v>0.005</v>
      </c>
      <c r="E56" s="10" t="n">
        <f aca="false">C56*D56</f>
        <v>0</v>
      </c>
    </row>
    <row r="57" customFormat="false" ht="15" hidden="false" customHeight="false" outlineLevel="0" collapsed="false">
      <c r="A57" s="20" t="n">
        <v>23</v>
      </c>
      <c r="B57" s="17" t="n">
        <f aca="false">EDATE($B$5,22)</f>
        <v>46798</v>
      </c>
      <c r="C57" s="10" t="n">
        <f aca="false">IF($B$8&gt;B57,MAX(0,$B$4-SUMIFS($C$10:$C$12,$B$10:$B$12,"&lt;="&amp;B57)),0)</f>
        <v>0</v>
      </c>
      <c r="D57" s="21" t="n">
        <f aca="false">IF(AND($B$14&lt;&gt;"",B57&gt;=$B$14+10),0.01,IF(AND($B$13&lt;&gt;"",B57&gt;=$B$13,$B$22=1),0.0025,0.005))</f>
        <v>0.005</v>
      </c>
      <c r="E57" s="10" t="n">
        <f aca="false">C57*D57</f>
        <v>0</v>
      </c>
    </row>
    <row r="58" customFormat="false" ht="15" hidden="false" customHeight="false" outlineLevel="0" collapsed="false">
      <c r="A58" s="20" t="n">
        <v>24</v>
      </c>
      <c r="B58" s="17" t="n">
        <f aca="false">EDATE($B$5,23)</f>
        <v>46827</v>
      </c>
      <c r="C58" s="10" t="n">
        <f aca="false">IF($B$8&gt;B58,MAX(0,$B$4-SUMIFS($C$10:$C$12,$B$10:$B$12,"&lt;="&amp;B58)),0)</f>
        <v>0</v>
      </c>
      <c r="D58" s="21" t="n">
        <f aca="false">IF(AND($B$14&lt;&gt;"",B58&gt;=$B$14+10),0.01,IF(AND($B$13&lt;&gt;"",B58&gt;=$B$13,$B$22=1),0.0025,0.005))</f>
        <v>0.005</v>
      </c>
      <c r="E58" s="10" t="n">
        <f aca="false">C58*D58</f>
        <v>0</v>
      </c>
    </row>
    <row r="59" customFormat="false" ht="15" hidden="false" customHeight="false" outlineLevel="0" collapsed="false">
      <c r="A59" s="20" t="n">
        <v>25</v>
      </c>
      <c r="B59" s="17" t="n">
        <f aca="false">EDATE($B$5,24)</f>
        <v>46858</v>
      </c>
      <c r="C59" s="10" t="n">
        <f aca="false">IF($B$8&gt;B59,MAX(0,$B$4-SUMIFS($C$10:$C$12,$B$10:$B$12,"&lt;="&amp;B59)),0)</f>
        <v>0</v>
      </c>
      <c r="D59" s="21" t="n">
        <f aca="false">IF(AND($B$14&lt;&gt;"",B59&gt;=$B$14+10),0.01,IF(AND($B$13&lt;&gt;"",B59&gt;=$B$13,$B$22=1),0.0025,0.005))</f>
        <v>0.005</v>
      </c>
      <c r="E59" s="10" t="n">
        <f aca="false">C59*D59</f>
        <v>0</v>
      </c>
    </row>
    <row r="60" customFormat="false" ht="15" hidden="false" customHeight="false" outlineLevel="0" collapsed="false">
      <c r="A60" s="20" t="n">
        <v>26</v>
      </c>
      <c r="B60" s="17" t="n">
        <f aca="false">EDATE($B$5,25)</f>
        <v>46888</v>
      </c>
      <c r="C60" s="10" t="n">
        <f aca="false">IF($B$8&gt;B60,MAX(0,$B$4-SUMIFS($C$10:$C$12,$B$10:$B$12,"&lt;="&amp;B60)),0)</f>
        <v>0</v>
      </c>
      <c r="D60" s="21" t="n">
        <f aca="false">IF(AND($B$14&lt;&gt;"",B60&gt;=$B$14+10),0.01,IF(AND($B$13&lt;&gt;"",B60&gt;=$B$13,$B$22=1),0.0025,0.005))</f>
        <v>0.005</v>
      </c>
      <c r="E60" s="10" t="n">
        <f aca="false">C60*D60</f>
        <v>0</v>
      </c>
    </row>
    <row r="61" customFormat="false" ht="15" hidden="false" customHeight="false" outlineLevel="0" collapsed="false">
      <c r="A61" s="20" t="n">
        <v>27</v>
      </c>
      <c r="B61" s="17" t="n">
        <f aca="false">EDATE($B$5,26)</f>
        <v>46919</v>
      </c>
      <c r="C61" s="10" t="n">
        <f aca="false">IF($B$8&gt;B61,MAX(0,$B$4-SUMIFS($C$10:$C$12,$B$10:$B$12,"&lt;="&amp;B61)),0)</f>
        <v>0</v>
      </c>
      <c r="D61" s="21" t="n">
        <f aca="false">IF(AND($B$14&lt;&gt;"",B61&gt;=$B$14+10),0.01,IF(AND($B$13&lt;&gt;"",B61&gt;=$B$13,$B$22=1),0.0025,0.005))</f>
        <v>0.005</v>
      </c>
      <c r="E61" s="10" t="n">
        <f aca="false">C61*D61</f>
        <v>0</v>
      </c>
    </row>
    <row r="62" customFormat="false" ht="15" hidden="false" customHeight="false" outlineLevel="0" collapsed="false">
      <c r="A62" s="20" t="n">
        <v>28</v>
      </c>
      <c r="B62" s="17" t="n">
        <f aca="false">EDATE($B$5,27)</f>
        <v>46949</v>
      </c>
      <c r="C62" s="10" t="n">
        <f aca="false">IF($B$8&gt;B62,MAX(0,$B$4-SUMIFS($C$10:$C$12,$B$10:$B$12,"&lt;="&amp;B62)),0)</f>
        <v>0</v>
      </c>
      <c r="D62" s="21" t="n">
        <f aca="false">IF(AND($B$14&lt;&gt;"",B62&gt;=$B$14+10),0.01,IF(AND($B$13&lt;&gt;"",B62&gt;=$B$13,$B$22=1),0.0025,0.005))</f>
        <v>0.005</v>
      </c>
      <c r="E62" s="10" t="n">
        <f aca="false">C62*D62</f>
        <v>0</v>
      </c>
    </row>
    <row r="63" customFormat="false" ht="15" hidden="false" customHeight="false" outlineLevel="0" collapsed="false">
      <c r="A63" s="20" t="n">
        <v>29</v>
      </c>
      <c r="B63" s="17" t="n">
        <f aca="false">EDATE($B$5,28)</f>
        <v>46980</v>
      </c>
      <c r="C63" s="10" t="n">
        <f aca="false">IF($B$8&gt;B63,MAX(0,$B$4-SUMIFS($C$10:$C$12,$B$10:$B$12,"&lt;="&amp;B63)),0)</f>
        <v>0</v>
      </c>
      <c r="D63" s="21" t="n">
        <f aca="false">IF(AND($B$14&lt;&gt;"",B63&gt;=$B$14+10),0.01,IF(AND($B$13&lt;&gt;"",B63&gt;=$B$13,$B$22=1),0.0025,0.005))</f>
        <v>0.005</v>
      </c>
      <c r="E63" s="10" t="n">
        <f aca="false">C63*D63</f>
        <v>0</v>
      </c>
    </row>
    <row r="64" customFormat="false" ht="15" hidden="false" customHeight="false" outlineLevel="0" collapsed="false">
      <c r="A64" s="20" t="n">
        <v>30</v>
      </c>
      <c r="B64" s="17" t="n">
        <f aca="false">EDATE($B$5,29)</f>
        <v>47011</v>
      </c>
      <c r="C64" s="10" t="n">
        <f aca="false">IF($B$8&gt;B64,MAX(0,$B$4-SUMIFS($C$10:$C$12,$B$10:$B$12,"&lt;="&amp;B64)),0)</f>
        <v>0</v>
      </c>
      <c r="D64" s="21" t="n">
        <f aca="false">IF(AND($B$14&lt;&gt;"",B64&gt;=$B$14+10),0.01,IF(AND($B$13&lt;&gt;"",B64&gt;=$B$13,$B$22=1),0.0025,0.005))</f>
        <v>0.005</v>
      </c>
      <c r="E64" s="10" t="n">
        <f aca="false">C64*D64</f>
        <v>0</v>
      </c>
    </row>
    <row r="65" customFormat="false" ht="15" hidden="false" customHeight="false" outlineLevel="0" collapsed="false">
      <c r="A65" s="20" t="n">
        <v>31</v>
      </c>
      <c r="B65" s="17" t="n">
        <f aca="false">EDATE($B$5,30)</f>
        <v>47041</v>
      </c>
      <c r="C65" s="10" t="n">
        <f aca="false">IF($B$8&gt;B65,MAX(0,$B$4-SUMIFS($C$10:$C$12,$B$10:$B$12,"&lt;="&amp;B65)),0)</f>
        <v>0</v>
      </c>
      <c r="D65" s="21" t="n">
        <f aca="false">IF(AND($B$14&lt;&gt;"",B65&gt;=$B$14+10),0.01,IF(AND($B$13&lt;&gt;"",B65&gt;=$B$13,$B$22=1),0.0025,0.005))</f>
        <v>0.005</v>
      </c>
      <c r="E65" s="10" t="n">
        <f aca="false">C65*D65</f>
        <v>0</v>
      </c>
    </row>
    <row r="66" customFormat="false" ht="15" hidden="false" customHeight="false" outlineLevel="0" collapsed="false">
      <c r="A66" s="20" t="n">
        <v>32</v>
      </c>
      <c r="B66" s="17" t="n">
        <f aca="false">EDATE($B$5,31)</f>
        <v>47072</v>
      </c>
      <c r="C66" s="10" t="n">
        <f aca="false">IF($B$8&gt;B66,MAX(0,$B$4-SUMIFS($C$10:$C$12,$B$10:$B$12,"&lt;="&amp;B66)),0)</f>
        <v>0</v>
      </c>
      <c r="D66" s="21" t="n">
        <f aca="false">IF(AND($B$14&lt;&gt;"",B66&gt;=$B$14+10),0.01,IF(AND($B$13&lt;&gt;"",B66&gt;=$B$13,$B$22=1),0.0025,0.005))</f>
        <v>0.005</v>
      </c>
      <c r="E66" s="10" t="n">
        <f aca="false">C66*D66</f>
        <v>0</v>
      </c>
    </row>
    <row r="67" customFormat="false" ht="15" hidden="false" customHeight="false" outlineLevel="0" collapsed="false">
      <c r="A67" s="20" t="n">
        <v>33</v>
      </c>
      <c r="B67" s="17" t="n">
        <f aca="false">EDATE($B$5,32)</f>
        <v>47102</v>
      </c>
      <c r="C67" s="10" t="n">
        <f aca="false">IF($B$8&gt;B67,MAX(0,$B$4-SUMIFS($C$10:$C$12,$B$10:$B$12,"&lt;="&amp;B67)),0)</f>
        <v>0</v>
      </c>
      <c r="D67" s="21" t="n">
        <f aca="false">IF(AND($B$14&lt;&gt;"",B67&gt;=$B$14+10),0.01,IF(AND($B$13&lt;&gt;"",B67&gt;=$B$13,$B$22=1),0.0025,0.005))</f>
        <v>0.005</v>
      </c>
      <c r="E67" s="10" t="n">
        <f aca="false">C67*D67</f>
        <v>0</v>
      </c>
    </row>
    <row r="68" customFormat="false" ht="15" hidden="false" customHeight="false" outlineLevel="0" collapsed="false">
      <c r="A68" s="20" t="n">
        <v>34</v>
      </c>
      <c r="B68" s="17" t="n">
        <f aca="false">EDATE($B$5,33)</f>
        <v>47133</v>
      </c>
      <c r="C68" s="10" t="n">
        <f aca="false">IF($B$8&gt;B68,MAX(0,$B$4-SUMIFS($C$10:$C$12,$B$10:$B$12,"&lt;="&amp;B68)),0)</f>
        <v>0</v>
      </c>
      <c r="D68" s="21" t="n">
        <f aca="false">IF(AND($B$14&lt;&gt;"",B68&gt;=$B$14+10),0.01,IF(AND($B$13&lt;&gt;"",B68&gt;=$B$13,$B$22=1),0.0025,0.005))</f>
        <v>0.005</v>
      </c>
      <c r="E68" s="10" t="n">
        <f aca="false">C68*D68</f>
        <v>0</v>
      </c>
    </row>
    <row r="69" customFormat="false" ht="15" hidden="false" customHeight="false" outlineLevel="0" collapsed="false">
      <c r="A69" s="20" t="n">
        <v>35</v>
      </c>
      <c r="B69" s="17" t="n">
        <f aca="false">EDATE($B$5,34)</f>
        <v>47164</v>
      </c>
      <c r="C69" s="10" t="n">
        <f aca="false">IF($B$8&gt;B69,MAX(0,$B$4-SUMIFS($C$10:$C$12,$B$10:$B$12,"&lt;="&amp;B69)),0)</f>
        <v>0</v>
      </c>
      <c r="D69" s="21" t="n">
        <f aca="false">IF(AND($B$14&lt;&gt;"",B69&gt;=$B$14+10),0.01,IF(AND($B$13&lt;&gt;"",B69&gt;=$B$13,$B$22=1),0.0025,0.005))</f>
        <v>0.005</v>
      </c>
      <c r="E69" s="10" t="n">
        <f aca="false">C69*D69</f>
        <v>0</v>
      </c>
    </row>
    <row r="70" customFormat="false" ht="15" hidden="false" customHeight="false" outlineLevel="0" collapsed="false">
      <c r="A70" s="20" t="n">
        <v>36</v>
      </c>
      <c r="B70" s="17" t="n">
        <f aca="false">EDATE($B$5,35)</f>
        <v>47192</v>
      </c>
      <c r="C70" s="10" t="n">
        <f aca="false">IF($B$8&gt;B70,MAX(0,$B$4-SUMIFS($C$10:$C$12,$B$10:$B$12,"&lt;="&amp;B70)),0)</f>
        <v>0</v>
      </c>
      <c r="D70" s="21" t="n">
        <f aca="false">IF(AND($B$14&lt;&gt;"",B70&gt;=$B$14+10),0.01,IF(AND($B$13&lt;&gt;"",B70&gt;=$B$13,$B$22=1),0.0025,0.005))</f>
        <v>0.005</v>
      </c>
      <c r="E70" s="10" t="n">
        <f aca="false">C70*D70</f>
        <v>0</v>
      </c>
    </row>
    <row r="71" customFormat="false" ht="15" hidden="false" customHeight="false" outlineLevel="0" collapsed="false">
      <c r="A71" s="20" t="n">
        <v>37</v>
      </c>
      <c r="B71" s="17" t="n">
        <f aca="false">EDATE($B$5,36)</f>
        <v>47223</v>
      </c>
      <c r="C71" s="10" t="n">
        <f aca="false">IF($B$8&gt;B71,MAX(0,$B$4-SUMIFS($C$10:$C$12,$B$10:$B$12,"&lt;="&amp;B71)),0)</f>
        <v>0</v>
      </c>
      <c r="D71" s="21" t="n">
        <f aca="false">IF(AND($B$14&lt;&gt;"",B71&gt;=$B$14+10),0.01,IF(AND($B$13&lt;&gt;"",B71&gt;=$B$13,$B$22=1),0.0025,0.005))</f>
        <v>0.005</v>
      </c>
      <c r="E71" s="10" t="n">
        <f aca="false">C71*D71</f>
        <v>0</v>
      </c>
    </row>
    <row r="72" customFormat="false" ht="15" hidden="false" customHeight="false" outlineLevel="0" collapsed="false">
      <c r="A72" s="20" t="n">
        <v>38</v>
      </c>
      <c r="B72" s="17" t="n">
        <f aca="false">EDATE($B$5,37)</f>
        <v>47253</v>
      </c>
      <c r="C72" s="10" t="n">
        <f aca="false">IF($B$8&gt;B72,MAX(0,$B$4-SUMIFS($C$10:$C$12,$B$10:$B$12,"&lt;="&amp;B72)),0)</f>
        <v>0</v>
      </c>
      <c r="D72" s="21" t="n">
        <f aca="false">IF(AND($B$14&lt;&gt;"",B72&gt;=$B$14+10),0.01,IF(AND($B$13&lt;&gt;"",B72&gt;=$B$13,$B$22=1),0.0025,0.005))</f>
        <v>0.005</v>
      </c>
      <c r="E72" s="10" t="n">
        <f aca="false">C72*D72</f>
        <v>0</v>
      </c>
    </row>
    <row r="73" customFormat="false" ht="15" hidden="false" customHeight="false" outlineLevel="0" collapsed="false">
      <c r="A73" s="20" t="n">
        <v>39</v>
      </c>
      <c r="B73" s="17" t="n">
        <f aca="false">EDATE($B$5,38)</f>
        <v>47284</v>
      </c>
      <c r="C73" s="10" t="n">
        <f aca="false">IF($B$8&gt;B73,MAX(0,$B$4-SUMIFS($C$10:$C$12,$B$10:$B$12,"&lt;="&amp;B73)),0)</f>
        <v>0</v>
      </c>
      <c r="D73" s="21" t="n">
        <f aca="false">IF(AND($B$14&lt;&gt;"",B73&gt;=$B$14+10),0.01,IF(AND($B$13&lt;&gt;"",B73&gt;=$B$13,$B$22=1),0.0025,0.005))</f>
        <v>0.005</v>
      </c>
      <c r="E73" s="10" t="n">
        <f aca="false">C73*D73</f>
        <v>0</v>
      </c>
    </row>
    <row r="74" customFormat="false" ht="15" hidden="false" customHeight="false" outlineLevel="0" collapsed="false">
      <c r="A74" s="20" t="n">
        <v>40</v>
      </c>
      <c r="B74" s="17" t="n">
        <f aca="false">EDATE($B$5,39)</f>
        <v>47314</v>
      </c>
      <c r="C74" s="10" t="n">
        <f aca="false">IF($B$8&gt;B74,MAX(0,$B$4-SUMIFS($C$10:$C$12,$B$10:$B$12,"&lt;="&amp;B74)),0)</f>
        <v>0</v>
      </c>
      <c r="D74" s="21" t="n">
        <f aca="false">IF(AND($B$14&lt;&gt;"",B74&gt;=$B$14+10),0.01,IF(AND($B$13&lt;&gt;"",B74&gt;=$B$13,$B$22=1),0.0025,0.005))</f>
        <v>0.005</v>
      </c>
      <c r="E74" s="10" t="n">
        <f aca="false">C74*D74</f>
        <v>0</v>
      </c>
    </row>
    <row r="75" customFormat="false" ht="15" hidden="false" customHeight="false" outlineLevel="0" collapsed="false">
      <c r="A75" s="20" t="n">
        <v>41</v>
      </c>
      <c r="B75" s="17" t="n">
        <f aca="false">EDATE($B$5,40)</f>
        <v>47345</v>
      </c>
      <c r="C75" s="10" t="n">
        <f aca="false">IF($B$8&gt;B75,MAX(0,$B$4-SUMIFS($C$10:$C$12,$B$10:$B$12,"&lt;="&amp;B75)),0)</f>
        <v>0</v>
      </c>
      <c r="D75" s="21" t="n">
        <f aca="false">IF(AND($B$14&lt;&gt;"",B75&gt;=$B$14+10),0.01,IF(AND($B$13&lt;&gt;"",B75&gt;=$B$13,$B$22=1),0.0025,0.005))</f>
        <v>0.005</v>
      </c>
      <c r="E75" s="10" t="n">
        <f aca="false">C75*D75</f>
        <v>0</v>
      </c>
    </row>
    <row r="76" customFormat="false" ht="15" hidden="false" customHeight="false" outlineLevel="0" collapsed="false">
      <c r="A76" s="20" t="n">
        <v>42</v>
      </c>
      <c r="B76" s="17" t="n">
        <f aca="false">EDATE($B$5,41)</f>
        <v>47376</v>
      </c>
      <c r="C76" s="10" t="n">
        <f aca="false">IF($B$8&gt;B76,MAX(0,$B$4-SUMIFS($C$10:$C$12,$B$10:$B$12,"&lt;="&amp;B76)),0)</f>
        <v>0</v>
      </c>
      <c r="D76" s="21" t="n">
        <f aca="false">IF(AND($B$14&lt;&gt;"",B76&gt;=$B$14+10),0.01,IF(AND($B$13&lt;&gt;"",B76&gt;=$B$13,$B$22=1),0.0025,0.005))</f>
        <v>0.005</v>
      </c>
      <c r="E76" s="10" t="n">
        <f aca="false">C76*D76</f>
        <v>0</v>
      </c>
    </row>
    <row r="77" customFormat="false" ht="15" hidden="false" customHeight="false" outlineLevel="0" collapsed="false">
      <c r="A77" s="20" t="n">
        <v>43</v>
      </c>
      <c r="B77" s="17" t="n">
        <f aca="false">EDATE($B$5,42)</f>
        <v>47406</v>
      </c>
      <c r="C77" s="10" t="n">
        <f aca="false">IF($B$8&gt;B77,MAX(0,$B$4-SUMIFS($C$10:$C$12,$B$10:$B$12,"&lt;="&amp;B77)),0)</f>
        <v>0</v>
      </c>
      <c r="D77" s="21" t="n">
        <f aca="false">IF(AND($B$14&lt;&gt;"",B77&gt;=$B$14+10),0.01,IF(AND($B$13&lt;&gt;"",B77&gt;=$B$13,$B$22=1),0.0025,0.005))</f>
        <v>0.005</v>
      </c>
      <c r="E77" s="10" t="n">
        <f aca="false">C77*D77</f>
        <v>0</v>
      </c>
    </row>
    <row r="78" customFormat="false" ht="15" hidden="false" customHeight="false" outlineLevel="0" collapsed="false">
      <c r="A78" s="20" t="n">
        <v>44</v>
      </c>
      <c r="B78" s="17" t="n">
        <f aca="false">EDATE($B$5,43)</f>
        <v>47437</v>
      </c>
      <c r="C78" s="10" t="n">
        <f aca="false">IF($B$8&gt;B78,MAX(0,$B$4-SUMIFS($C$10:$C$12,$B$10:$B$12,"&lt;="&amp;B78)),0)</f>
        <v>0</v>
      </c>
      <c r="D78" s="21" t="n">
        <f aca="false">IF(AND($B$14&lt;&gt;"",B78&gt;=$B$14+10),0.01,IF(AND($B$13&lt;&gt;"",B78&gt;=$B$13,$B$22=1),0.0025,0.005))</f>
        <v>0.005</v>
      </c>
      <c r="E78" s="10" t="n">
        <f aca="false">C78*D78</f>
        <v>0</v>
      </c>
    </row>
    <row r="79" customFormat="false" ht="15" hidden="false" customHeight="false" outlineLevel="0" collapsed="false">
      <c r="A79" s="20" t="n">
        <v>45</v>
      </c>
      <c r="B79" s="17" t="n">
        <f aca="false">EDATE($B$5,44)</f>
        <v>47467</v>
      </c>
      <c r="C79" s="10" t="n">
        <f aca="false">IF($B$8&gt;B79,MAX(0,$B$4-SUMIFS($C$10:$C$12,$B$10:$B$12,"&lt;="&amp;B79)),0)</f>
        <v>0</v>
      </c>
      <c r="D79" s="21" t="n">
        <f aca="false">IF(AND($B$14&lt;&gt;"",B79&gt;=$B$14+10),0.01,IF(AND($B$13&lt;&gt;"",B79&gt;=$B$13,$B$22=1),0.0025,0.005))</f>
        <v>0.005</v>
      </c>
      <c r="E79" s="10" t="n">
        <f aca="false">C79*D79</f>
        <v>0</v>
      </c>
    </row>
    <row r="80" customFormat="false" ht="15" hidden="false" customHeight="false" outlineLevel="0" collapsed="false">
      <c r="A80" s="20" t="n">
        <v>46</v>
      </c>
      <c r="B80" s="17" t="n">
        <f aca="false">EDATE($B$5,45)</f>
        <v>47498</v>
      </c>
      <c r="C80" s="10" t="n">
        <f aca="false">IF($B$8&gt;B80,MAX(0,$B$4-SUMIFS($C$10:$C$12,$B$10:$B$12,"&lt;="&amp;B80)),0)</f>
        <v>0</v>
      </c>
      <c r="D80" s="21" t="n">
        <f aca="false">IF(AND($B$14&lt;&gt;"",B80&gt;=$B$14+10),0.01,IF(AND($B$13&lt;&gt;"",B80&gt;=$B$13,$B$22=1),0.0025,0.005))</f>
        <v>0.005</v>
      </c>
      <c r="E80" s="10" t="n">
        <f aca="false">C80*D80</f>
        <v>0</v>
      </c>
    </row>
    <row r="81" customFormat="false" ht="15" hidden="false" customHeight="false" outlineLevel="0" collapsed="false">
      <c r="A81" s="20" t="n">
        <v>47</v>
      </c>
      <c r="B81" s="17" t="n">
        <f aca="false">EDATE($B$5,46)</f>
        <v>47529</v>
      </c>
      <c r="C81" s="10" t="n">
        <f aca="false">IF($B$8&gt;B81,MAX(0,$B$4-SUMIFS($C$10:$C$12,$B$10:$B$12,"&lt;="&amp;B81)),0)</f>
        <v>0</v>
      </c>
      <c r="D81" s="21" t="n">
        <f aca="false">IF(AND($B$14&lt;&gt;"",B81&gt;=$B$14+10),0.01,IF(AND($B$13&lt;&gt;"",B81&gt;=$B$13,$B$22=1),0.0025,0.005))</f>
        <v>0.005</v>
      </c>
      <c r="E81" s="10" t="n">
        <f aca="false">C81*D81</f>
        <v>0</v>
      </c>
    </row>
    <row r="82" customFormat="false" ht="15" hidden="false" customHeight="false" outlineLevel="0" collapsed="false">
      <c r="A82" s="20" t="n">
        <v>48</v>
      </c>
      <c r="B82" s="17" t="n">
        <f aca="false">EDATE($B$5,47)</f>
        <v>47557</v>
      </c>
      <c r="C82" s="10" t="n">
        <f aca="false">IF($B$8&gt;B82,MAX(0,$B$4-SUMIFS($C$10:$C$12,$B$10:$B$12,"&lt;="&amp;B82)),0)</f>
        <v>0</v>
      </c>
      <c r="D82" s="21" t="n">
        <f aca="false">IF(AND($B$14&lt;&gt;"",B82&gt;=$B$14+10),0.01,IF(AND($B$13&lt;&gt;"",B82&gt;=$B$13,$B$22=1),0.0025,0.005))</f>
        <v>0.005</v>
      </c>
      <c r="E82" s="10" t="n">
        <f aca="false">C82*D82</f>
        <v>0</v>
      </c>
    </row>
    <row r="83" customFormat="false" ht="15" hidden="false" customHeight="false" outlineLevel="0" collapsed="false">
      <c r="A83" s="20" t="n">
        <v>49</v>
      </c>
      <c r="B83" s="17" t="n">
        <f aca="false">EDATE($B$5,48)</f>
        <v>47588</v>
      </c>
      <c r="C83" s="10" t="n">
        <f aca="false">IF($B$8&gt;B83,MAX(0,$B$4-SUMIFS($C$10:$C$12,$B$10:$B$12,"&lt;="&amp;B83)),0)</f>
        <v>0</v>
      </c>
      <c r="D83" s="21" t="n">
        <f aca="false">IF(AND($B$14&lt;&gt;"",B83&gt;=$B$14+10),0.01,IF(AND($B$13&lt;&gt;"",B83&gt;=$B$13,$B$22=1),0.0025,0.005))</f>
        <v>0.005</v>
      </c>
      <c r="E83" s="10" t="n">
        <f aca="false">C83*D83</f>
        <v>0</v>
      </c>
    </row>
    <row r="84" customFormat="false" ht="15" hidden="false" customHeight="false" outlineLevel="0" collapsed="false">
      <c r="A84" s="20" t="n">
        <v>50</v>
      </c>
      <c r="B84" s="17" t="n">
        <f aca="false">EDATE($B$5,49)</f>
        <v>47618</v>
      </c>
      <c r="C84" s="10" t="n">
        <f aca="false">IF($B$8&gt;B84,MAX(0,$B$4-SUMIFS($C$10:$C$12,$B$10:$B$12,"&lt;="&amp;B84)),0)</f>
        <v>0</v>
      </c>
      <c r="D84" s="21" t="n">
        <f aca="false">IF(AND($B$14&lt;&gt;"",B84&gt;=$B$14+10),0.01,IF(AND($B$13&lt;&gt;"",B84&gt;=$B$13,$B$22=1),0.0025,0.005))</f>
        <v>0.005</v>
      </c>
      <c r="E84" s="10" t="n">
        <f aca="false">C84*D84</f>
        <v>0</v>
      </c>
    </row>
    <row r="85" customFormat="false" ht="15" hidden="false" customHeight="false" outlineLevel="0" collapsed="false">
      <c r="A85" s="20" t="n">
        <v>51</v>
      </c>
      <c r="B85" s="17" t="n">
        <f aca="false">EDATE($B$5,50)</f>
        <v>47649</v>
      </c>
      <c r="C85" s="10" t="n">
        <f aca="false">IF($B$8&gt;B85,MAX(0,$B$4-SUMIFS($C$10:$C$12,$B$10:$B$12,"&lt;="&amp;B85)),0)</f>
        <v>0</v>
      </c>
      <c r="D85" s="21" t="n">
        <f aca="false">IF(AND($B$14&lt;&gt;"",B85&gt;=$B$14+10),0.01,IF(AND($B$13&lt;&gt;"",B85&gt;=$B$13,$B$22=1),0.0025,0.005))</f>
        <v>0.005</v>
      </c>
      <c r="E85" s="10" t="n">
        <f aca="false">C85*D85</f>
        <v>0</v>
      </c>
    </row>
    <row r="86" customFormat="false" ht="15" hidden="false" customHeight="false" outlineLevel="0" collapsed="false">
      <c r="A86" s="20" t="n">
        <v>52</v>
      </c>
      <c r="B86" s="17" t="n">
        <f aca="false">EDATE($B$5,51)</f>
        <v>47679</v>
      </c>
      <c r="C86" s="10" t="n">
        <f aca="false">IF($B$8&gt;B86,MAX(0,$B$4-SUMIFS($C$10:$C$12,$B$10:$B$12,"&lt;="&amp;B86)),0)</f>
        <v>0</v>
      </c>
      <c r="D86" s="21" t="n">
        <f aca="false">IF(AND($B$14&lt;&gt;"",B86&gt;=$B$14+10),0.01,IF(AND($B$13&lt;&gt;"",B86&gt;=$B$13,$B$22=1),0.0025,0.005))</f>
        <v>0.005</v>
      </c>
      <c r="E86" s="10" t="n">
        <f aca="false">C86*D86</f>
        <v>0</v>
      </c>
    </row>
    <row r="87" customFormat="false" ht="15" hidden="false" customHeight="false" outlineLevel="0" collapsed="false">
      <c r="A87" s="20" t="n">
        <v>53</v>
      </c>
      <c r="B87" s="17" t="n">
        <f aca="false">EDATE($B$5,52)</f>
        <v>47710</v>
      </c>
      <c r="C87" s="10" t="n">
        <f aca="false">IF($B$8&gt;B87,MAX(0,$B$4-SUMIFS($C$10:$C$12,$B$10:$B$12,"&lt;="&amp;B87)),0)</f>
        <v>0</v>
      </c>
      <c r="D87" s="21" t="n">
        <f aca="false">IF(AND($B$14&lt;&gt;"",B87&gt;=$B$14+10),0.01,IF(AND($B$13&lt;&gt;"",B87&gt;=$B$13,$B$22=1),0.0025,0.005))</f>
        <v>0.005</v>
      </c>
      <c r="E87" s="10" t="n">
        <f aca="false">C87*D87</f>
        <v>0</v>
      </c>
    </row>
    <row r="88" customFormat="false" ht="15" hidden="false" customHeight="false" outlineLevel="0" collapsed="false">
      <c r="A88" s="20" t="n">
        <v>54</v>
      </c>
      <c r="B88" s="17" t="n">
        <f aca="false">EDATE($B$5,53)</f>
        <v>47741</v>
      </c>
      <c r="C88" s="10" t="n">
        <f aca="false">IF($B$8&gt;B88,MAX(0,$B$4-SUMIFS($C$10:$C$12,$B$10:$B$12,"&lt;="&amp;B88)),0)</f>
        <v>0</v>
      </c>
      <c r="D88" s="21" t="n">
        <f aca="false">IF(AND($B$14&lt;&gt;"",B88&gt;=$B$14+10),0.01,IF(AND($B$13&lt;&gt;"",B88&gt;=$B$13,$B$22=1),0.0025,0.005))</f>
        <v>0.005</v>
      </c>
      <c r="E88" s="10" t="n">
        <f aca="false">C88*D88</f>
        <v>0</v>
      </c>
    </row>
    <row r="89" customFormat="false" ht="15" hidden="false" customHeight="false" outlineLevel="0" collapsed="false">
      <c r="A89" s="20" t="n">
        <v>55</v>
      </c>
      <c r="B89" s="17" t="n">
        <f aca="false">EDATE($B$5,54)</f>
        <v>47771</v>
      </c>
      <c r="C89" s="10" t="n">
        <f aca="false">IF($B$8&gt;B89,MAX(0,$B$4-SUMIFS($C$10:$C$12,$B$10:$B$12,"&lt;="&amp;B89)),0)</f>
        <v>0</v>
      </c>
      <c r="D89" s="21" t="n">
        <f aca="false">IF(AND($B$14&lt;&gt;"",B89&gt;=$B$14+10),0.01,IF(AND($B$13&lt;&gt;"",B89&gt;=$B$13,$B$22=1),0.0025,0.005))</f>
        <v>0.005</v>
      </c>
      <c r="E89" s="10" t="n">
        <f aca="false">C89*D89</f>
        <v>0</v>
      </c>
    </row>
    <row r="90" customFormat="false" ht="15" hidden="false" customHeight="false" outlineLevel="0" collapsed="false">
      <c r="A90" s="20" t="n">
        <v>56</v>
      </c>
      <c r="B90" s="17" t="n">
        <f aca="false">EDATE($B$5,55)</f>
        <v>47802</v>
      </c>
      <c r="C90" s="10" t="n">
        <f aca="false">IF($B$8&gt;B90,MAX(0,$B$4-SUMIFS($C$10:$C$12,$B$10:$B$12,"&lt;="&amp;B90)),0)</f>
        <v>0</v>
      </c>
      <c r="D90" s="21" t="n">
        <f aca="false">IF(AND($B$14&lt;&gt;"",B90&gt;=$B$14+10),0.01,IF(AND($B$13&lt;&gt;"",B90&gt;=$B$13,$B$22=1),0.0025,0.005))</f>
        <v>0.005</v>
      </c>
      <c r="E90" s="10" t="n">
        <f aca="false">C90*D90</f>
        <v>0</v>
      </c>
    </row>
    <row r="91" customFormat="false" ht="15" hidden="false" customHeight="false" outlineLevel="0" collapsed="false">
      <c r="A91" s="20" t="n">
        <v>57</v>
      </c>
      <c r="B91" s="17" t="n">
        <f aca="false">EDATE($B$5,56)</f>
        <v>47832</v>
      </c>
      <c r="C91" s="10" t="n">
        <f aca="false">IF($B$8&gt;B91,MAX(0,$B$4-SUMIFS($C$10:$C$12,$B$10:$B$12,"&lt;="&amp;B91)),0)</f>
        <v>0</v>
      </c>
      <c r="D91" s="21" t="n">
        <f aca="false">IF(AND($B$14&lt;&gt;"",B91&gt;=$B$14+10),0.01,IF(AND($B$13&lt;&gt;"",B91&gt;=$B$13,$B$22=1),0.0025,0.005))</f>
        <v>0.005</v>
      </c>
      <c r="E91" s="10" t="n">
        <f aca="false">C91*D91</f>
        <v>0</v>
      </c>
    </row>
    <row r="92" customFormat="false" ht="15" hidden="false" customHeight="false" outlineLevel="0" collapsed="false">
      <c r="A92" s="20" t="n">
        <v>58</v>
      </c>
      <c r="B92" s="17" t="n">
        <f aca="false">EDATE($B$5,57)</f>
        <v>47863</v>
      </c>
      <c r="C92" s="10" t="n">
        <f aca="false">IF($B$8&gt;B92,MAX(0,$B$4-SUMIFS($C$10:$C$12,$B$10:$B$12,"&lt;="&amp;B92)),0)</f>
        <v>0</v>
      </c>
      <c r="D92" s="21" t="n">
        <f aca="false">IF(AND($B$14&lt;&gt;"",B92&gt;=$B$14+10),0.01,IF(AND($B$13&lt;&gt;"",B92&gt;=$B$13,$B$22=1),0.0025,0.005))</f>
        <v>0.005</v>
      </c>
      <c r="E92" s="10" t="n">
        <f aca="false">C92*D92</f>
        <v>0</v>
      </c>
    </row>
    <row r="93" customFormat="false" ht="15" hidden="false" customHeight="false" outlineLevel="0" collapsed="false">
      <c r="A93" s="20" t="n">
        <v>59</v>
      </c>
      <c r="B93" s="17" t="n">
        <f aca="false">EDATE($B$5,58)</f>
        <v>47894</v>
      </c>
      <c r="C93" s="10" t="n">
        <f aca="false">IF($B$8&gt;B93,MAX(0,$B$4-SUMIFS($C$10:$C$12,$B$10:$B$12,"&lt;="&amp;B93)),0)</f>
        <v>0</v>
      </c>
      <c r="D93" s="21" t="n">
        <f aca="false">IF(AND($B$14&lt;&gt;"",B93&gt;=$B$14+10),0.01,IF(AND($B$13&lt;&gt;"",B93&gt;=$B$13,$B$22=1),0.0025,0.005))</f>
        <v>0.005</v>
      </c>
      <c r="E93" s="10" t="n">
        <f aca="false">C93*D93</f>
        <v>0</v>
      </c>
    </row>
    <row r="94" customFormat="false" ht="15" hidden="false" customHeight="false" outlineLevel="0" collapsed="false">
      <c r="A94" s="20" t="n">
        <v>60</v>
      </c>
      <c r="B94" s="17" t="n">
        <f aca="false">EDATE($B$5,59)</f>
        <v>47922</v>
      </c>
      <c r="C94" s="10" t="n">
        <f aca="false">IF($B$8&gt;B94,MAX(0,$B$4-SUMIFS($C$10:$C$12,$B$10:$B$12,"&lt;="&amp;B94)),0)</f>
        <v>0</v>
      </c>
      <c r="D94" s="21" t="n">
        <f aca="false">IF(AND($B$14&lt;&gt;"",B94&gt;=$B$14+10),0.01,IF(AND($B$13&lt;&gt;"",B94&gt;=$B$13,$B$22=1),0.0025,0.005))</f>
        <v>0.005</v>
      </c>
      <c r="E94" s="10" t="n">
        <f aca="false">C94*D94</f>
        <v>0</v>
      </c>
    </row>
  </sheetData>
  <dataValidations count="1">
    <dataValidation allowBlank="false" errorStyle="stop" operator="between" showDropDown="false" showErrorMessage="false" showInputMessage="false" sqref="B6"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99"/>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8"/>
    <col collapsed="false" customWidth="true" hidden="false" outlineLevel="0" max="3" min="3" style="0" width="14"/>
    <col collapsed="false" customWidth="true" hidden="false" outlineLevel="0" max="4" min="4" style="0" width="16"/>
    <col collapsed="false" customWidth="true" hidden="false" outlineLevel="0" max="5" min="5" style="0" width="14"/>
    <col collapsed="false" customWidth="true" hidden="false" outlineLevel="0" max="6" min="6" style="0" width="16"/>
    <col collapsed="false" customWidth="true" hidden="false" outlineLevel="0" max="7" min="7" style="0" width="18"/>
  </cols>
  <sheetData>
    <row r="1" customFormat="false" ht="17.35" hidden="false" customHeight="false" outlineLevel="0" collapsed="false">
      <c r="A1" s="1" t="s">
        <v>59</v>
      </c>
    </row>
    <row r="4" customFormat="false" ht="30" hidden="false" customHeight="true" outlineLevel="0" collapsed="false">
      <c r="A4" s="22" t="s">
        <v>60</v>
      </c>
      <c r="B4" s="22" t="s">
        <v>56</v>
      </c>
      <c r="C4" s="22" t="s">
        <v>61</v>
      </c>
      <c r="D4" s="22" t="s">
        <v>62</v>
      </c>
      <c r="E4" s="22" t="s">
        <v>63</v>
      </c>
      <c r="F4" s="22" t="s">
        <v>64</v>
      </c>
      <c r="G4" s="22" t="s">
        <v>65</v>
      </c>
    </row>
    <row r="5" customFormat="false" ht="15" hidden="false" customHeight="false" outlineLevel="0" collapsed="false">
      <c r="A5" s="23" t="n">
        <f aca="false">Penalty!$B$5+1</f>
        <v>46128</v>
      </c>
      <c r="B5" s="24" t="n">
        <f aca="false">IF(YEAR(A5)&gt;2026,Penalty!$B$16/100,IFERROR(INDEX(Rates!$B$4:$E$15,MATCH(YEAR(A5),Rates!$A$4:$A$15,0),ROUNDUP(MONTH(A5)/3,0))/100,0.03))</f>
        <v>0.06</v>
      </c>
      <c r="C5" s="25" t="n">
        <f aca="false">MAX(0,Penalty!$B$4-SUMIFS(Penalty!$C$10:$C$12,Penalty!$B$10:$B$12,"&lt;"&amp;A5))</f>
        <v>12000</v>
      </c>
      <c r="D5" s="25" t="n">
        <f aca="false">IF(A5&lt;=Penalty!$B$8,C5+0+IF(A5&gt;Penalty!$B$19,Penalty!$I$5,0)+0,0)</f>
        <v>13620</v>
      </c>
      <c r="E5" s="26" t="n">
        <f aca="false">D5*B5/365</f>
        <v>2.23890410958904</v>
      </c>
      <c r="F5" s="25" t="n">
        <f aca="false">0+E5*(1-IF(D5&gt;0,(IF(A5&gt;Penalty!$B$19,Penalty!$I$5,0)+0)/D5,0))</f>
        <v>1.97260273972603</v>
      </c>
      <c r="G5" s="25" t="n">
        <f aca="false">0+E5*IF(D5&gt;0,(IF(A5&gt;Penalty!$B$19,Penalty!$I$5,0)+0)/D5,0)</f>
        <v>0.266301369863014</v>
      </c>
    </row>
    <row r="6" customFormat="false" ht="15" hidden="false" customHeight="false" outlineLevel="0" collapsed="false">
      <c r="A6" s="23" t="n">
        <f aca="false">Penalty!$B$5+2</f>
        <v>46129</v>
      </c>
      <c r="B6" s="24" t="n">
        <f aca="false">IF(YEAR(A6)&gt;2026,Penalty!$B$16/100,IFERROR(INDEX(Rates!$B$4:$E$15,MATCH(YEAR(A6),Rates!$A$4:$A$15,0),ROUNDUP(MONTH(A6)/3,0))/100,0.03))</f>
        <v>0.06</v>
      </c>
      <c r="C6" s="25" t="n">
        <f aca="false">MAX(0,Penalty!$B$4-SUMIFS(Penalty!$C$10:$C$12,Penalty!$B$10:$B$12,"&lt;"&amp;A6))</f>
        <v>12000</v>
      </c>
      <c r="D6" s="25" t="n">
        <f aca="false">IF(A6&lt;=Penalty!$B$8,C6+F5+IF(A6&gt;Penalty!$B$19,Penalty!$I$5,0)+G5,0)</f>
        <v>13622.2389041096</v>
      </c>
      <c r="E6" s="26" t="n">
        <f aca="false">D6*B6/365</f>
        <v>2.23927214862075</v>
      </c>
      <c r="F6" s="25" t="n">
        <f aca="false">F5+E6*(1-IF(D6&gt;0,(IF(A6&gt;Penalty!$B$19,Penalty!$I$5,0)+G5)/D6,0))</f>
        <v>3.94552974291612</v>
      </c>
      <c r="G6" s="25" t="n">
        <f aca="false">G5+E6*IF(D6&gt;0,(IF(A6&gt;Penalty!$B$19,Penalty!$I$5,0)+G5)/D6,0)</f>
        <v>0.532646515293676</v>
      </c>
    </row>
    <row r="7" customFormat="false" ht="15" hidden="false" customHeight="false" outlineLevel="0" collapsed="false">
      <c r="A7" s="23" t="n">
        <f aca="false">Penalty!$B$5+3</f>
        <v>46130</v>
      </c>
      <c r="B7" s="24" t="n">
        <f aca="false">IF(YEAR(A7)&gt;2026,Penalty!$B$16/100,IFERROR(INDEX(Rates!$B$4:$E$15,MATCH(YEAR(A7),Rates!$A$4:$A$15,0),ROUNDUP(MONTH(A7)/3,0))/100,0.03))</f>
        <v>0.06</v>
      </c>
      <c r="C7" s="25" t="n">
        <f aca="false">MAX(0,Penalty!$B$4-SUMIFS(Penalty!$C$10:$C$12,Penalty!$B$10:$B$12,"&lt;"&amp;A7))</f>
        <v>12000</v>
      </c>
      <c r="D7" s="25" t="n">
        <f aca="false">IF(A7&lt;=Penalty!$B$8,C7+F6+IF(A7&gt;Penalty!$B$19,Penalty!$I$5,0)+G6,0)</f>
        <v>13624.4781762582</v>
      </c>
      <c r="E7" s="26" t="n">
        <f aca="false">D7*B7/365</f>
        <v>2.23964024815203</v>
      </c>
      <c r="F7" s="25" t="n">
        <f aca="false">F6+E7*(1-IF(D7&gt;0,(IF(A7&gt;Penalty!$B$19,Penalty!$I$5,0)+G6)/D7,0))</f>
        <v>5.91878106287386</v>
      </c>
      <c r="G7" s="25" t="n">
        <f aca="false">G6+E7*IF(D7&gt;0,(IF(A7&gt;Penalty!$B$19,Penalty!$I$5,0)+G6)/D7,0)</f>
        <v>0.799035443487971</v>
      </c>
    </row>
    <row r="8" customFormat="false" ht="15" hidden="false" customHeight="false" outlineLevel="0" collapsed="false">
      <c r="A8" s="23" t="n">
        <f aca="false">Penalty!$B$5+4</f>
        <v>46131</v>
      </c>
      <c r="B8" s="24" t="n">
        <f aca="false">IF(YEAR(A8)&gt;2026,Penalty!$B$16/100,IFERROR(INDEX(Rates!$B$4:$E$15,MATCH(YEAR(A8),Rates!$A$4:$A$15,0),ROUNDUP(MONTH(A8)/3,0))/100,0.03))</f>
        <v>0.06</v>
      </c>
      <c r="C8" s="25" t="n">
        <f aca="false">MAX(0,Penalty!$B$4-SUMIFS(Penalty!$C$10:$C$12,Penalty!$B$10:$B$12,"&lt;"&amp;A8))</f>
        <v>12000</v>
      </c>
      <c r="D8" s="25" t="n">
        <f aca="false">IF(A8&lt;=Penalty!$B$8,C8+F7+IF(A8&gt;Penalty!$B$19,Penalty!$I$5,0)+G7,0)</f>
        <v>13626.7178165064</v>
      </c>
      <c r="E8" s="26" t="n">
        <f aca="false">D8*B8/365</f>
        <v>2.24000840819283</v>
      </c>
      <c r="F8" s="25" t="n">
        <f aca="false">F7+E8*(1-IF(D8&gt;0,(IF(A8&gt;Penalty!$B$19,Penalty!$I$5,0)+G7)/D8,0))</f>
        <v>7.89235675291159</v>
      </c>
      <c r="G8" s="25" t="n">
        <f aca="false">G7+E8*IF(D8&gt;0,(IF(A8&gt;Penalty!$B$19,Penalty!$I$5,0)+G7)/D8,0)</f>
        <v>1.06546816164306</v>
      </c>
    </row>
    <row r="9" customFormat="false" ht="15" hidden="false" customHeight="false" outlineLevel="0" collapsed="false">
      <c r="A9" s="23" t="n">
        <f aca="false">Penalty!$B$5+5</f>
        <v>46132</v>
      </c>
      <c r="B9" s="24" t="n">
        <f aca="false">IF(YEAR(A9)&gt;2026,Penalty!$B$16/100,IFERROR(INDEX(Rates!$B$4:$E$15,MATCH(YEAR(A9),Rates!$A$4:$A$15,0),ROUNDUP(MONTH(A9)/3,0))/100,0.03))</f>
        <v>0.06</v>
      </c>
      <c r="C9" s="25" t="n">
        <f aca="false">MAX(0,Penalty!$B$4-SUMIFS(Penalty!$C$10:$C$12,Penalty!$B$10:$B$12,"&lt;"&amp;A9))</f>
        <v>12000</v>
      </c>
      <c r="D9" s="25" t="n">
        <f aca="false">IF(A9&lt;=Penalty!$B$8,C9+F8+IF(A9&gt;Penalty!$B$19,Penalty!$I$5,0)+G8,0)</f>
        <v>13628.9578249146</v>
      </c>
      <c r="E9" s="26" t="n">
        <f aca="false">D9*B9/365</f>
        <v>2.24037662875308</v>
      </c>
      <c r="F9" s="25" t="n">
        <f aca="false">F8+E9*(1-IF(D9&gt;0,(IF(A9&gt;Penalty!$B$19,Penalty!$I$5,0)+G8)/D9,0))</f>
        <v>9.86625686635043</v>
      </c>
      <c r="G9" s="25" t="n">
        <f aca="false">G8+E9*IF(D9&gt;0,(IF(A9&gt;Penalty!$B$19,Penalty!$I$5,0)+G8)/D9,0)</f>
        <v>1.33194467695731</v>
      </c>
    </row>
    <row r="10" customFormat="false" ht="15" hidden="false" customHeight="false" outlineLevel="0" collapsed="false">
      <c r="A10" s="23" t="n">
        <f aca="false">Penalty!$B$5+6</f>
        <v>46133</v>
      </c>
      <c r="B10" s="24" t="n">
        <f aca="false">IF(YEAR(A10)&gt;2026,Penalty!$B$16/100,IFERROR(INDEX(Rates!$B$4:$E$15,MATCH(YEAR(A10),Rates!$A$4:$A$15,0),ROUNDUP(MONTH(A10)/3,0))/100,0.03))</f>
        <v>0.06</v>
      </c>
      <c r="C10" s="25" t="n">
        <f aca="false">MAX(0,Penalty!$B$4-SUMIFS(Penalty!$C$10:$C$12,Penalty!$B$10:$B$12,"&lt;"&amp;A10))</f>
        <v>12000</v>
      </c>
      <c r="D10" s="25" t="n">
        <f aca="false">IF(A10&lt;=Penalty!$B$8,C10+F9+IF(A10&gt;Penalty!$B$19,Penalty!$I$5,0)+G9,0)</f>
        <v>13631.1982015433</v>
      </c>
      <c r="E10" s="26" t="n">
        <f aca="false">D10*B10/365</f>
        <v>2.24074490984274</v>
      </c>
      <c r="F10" s="25" t="n">
        <f aca="false">F9+E10*(1-IF(D10&gt;0,(IF(A10&gt;Penalty!$B$19,Penalty!$I$5,0)+G9)/D10,0))</f>
        <v>11.8404814565202</v>
      </c>
      <c r="G10" s="25" t="n">
        <f aca="false">G9+E10*IF(D10&gt;0,(IF(A10&gt;Penalty!$B$19,Penalty!$I$5,0)+G9)/D10,0)</f>
        <v>1.59846499663023</v>
      </c>
    </row>
    <row r="11" customFormat="false" ht="15" hidden="false" customHeight="false" outlineLevel="0" collapsed="false">
      <c r="A11" s="23" t="n">
        <f aca="false">Penalty!$B$5+7</f>
        <v>46134</v>
      </c>
      <c r="B11" s="24" t="n">
        <f aca="false">IF(YEAR(A11)&gt;2026,Penalty!$B$16/100,IFERROR(INDEX(Rates!$B$4:$E$15,MATCH(YEAR(A11),Rates!$A$4:$A$15,0),ROUNDUP(MONTH(A11)/3,0))/100,0.03))</f>
        <v>0.06</v>
      </c>
      <c r="C11" s="25" t="n">
        <f aca="false">MAX(0,Penalty!$B$4-SUMIFS(Penalty!$C$10:$C$12,Penalty!$B$10:$B$12,"&lt;"&amp;A11))</f>
        <v>12000</v>
      </c>
      <c r="D11" s="25" t="n">
        <f aca="false">IF(A11&lt;=Penalty!$B$8,C11+F10+IF(A11&gt;Penalty!$B$19,Penalty!$I$5,0)+G10,0)</f>
        <v>13633.4389464532</v>
      </c>
      <c r="E11" s="26" t="n">
        <f aca="false">D11*B11/365</f>
        <v>2.24111325147175</v>
      </c>
      <c r="F11" s="25" t="n">
        <f aca="false">F10+E11*(1-IF(D11&gt;0,(IF(A11&gt;Penalty!$B$19,Penalty!$I$5,0)+G10)/D11,0))</f>
        <v>13.8150305767597</v>
      </c>
      <c r="G11" s="25" t="n">
        <f aca="false">G10+E11*IF(D11&gt;0,(IF(A11&gt;Penalty!$B$19,Penalty!$I$5,0)+G10)/D11,0)</f>
        <v>1.86502912786255</v>
      </c>
    </row>
    <row r="12" customFormat="false" ht="15" hidden="false" customHeight="false" outlineLevel="0" collapsed="false">
      <c r="A12" s="23" t="n">
        <f aca="false">Penalty!$B$5+8</f>
        <v>46135</v>
      </c>
      <c r="B12" s="24" t="n">
        <f aca="false">IF(YEAR(A12)&gt;2026,Penalty!$B$16/100,IFERROR(INDEX(Rates!$B$4:$E$15,MATCH(YEAR(A12),Rates!$A$4:$A$15,0),ROUNDUP(MONTH(A12)/3,0))/100,0.03))</f>
        <v>0.06</v>
      </c>
      <c r="C12" s="25" t="n">
        <f aca="false">MAX(0,Penalty!$B$4-SUMIFS(Penalty!$C$10:$C$12,Penalty!$B$10:$B$12,"&lt;"&amp;A12))</f>
        <v>12000</v>
      </c>
      <c r="D12" s="25" t="n">
        <f aca="false">IF(A12&lt;=Penalty!$B$8,C12+F11+IF(A12&gt;Penalty!$B$19,Penalty!$I$5,0)+G11,0)</f>
        <v>13635.6800597046</v>
      </c>
      <c r="E12" s="26" t="n">
        <f aca="false">D12*B12/365</f>
        <v>2.24148165365008</v>
      </c>
      <c r="F12" s="25" t="n">
        <f aca="false">F11+E12*(1-IF(D12&gt;0,(IF(A12&gt;Penalty!$B$19,Penalty!$I$5,0)+G11)/D12,0))</f>
        <v>15.7899042804161</v>
      </c>
      <c r="G12" s="25" t="n">
        <f aca="false">G11+E12*IF(D12&gt;0,(IF(A12&gt;Penalty!$B$19,Penalty!$I$5,0)+G11)/D12,0)</f>
        <v>2.13163707785618</v>
      </c>
    </row>
    <row r="13" customFormat="false" ht="15" hidden="false" customHeight="false" outlineLevel="0" collapsed="false">
      <c r="A13" s="23" t="n">
        <f aca="false">Penalty!$B$5+9</f>
        <v>46136</v>
      </c>
      <c r="B13" s="24" t="n">
        <f aca="false">IF(YEAR(A13)&gt;2026,Penalty!$B$16/100,IFERROR(INDEX(Rates!$B$4:$E$15,MATCH(YEAR(A13),Rates!$A$4:$A$15,0),ROUNDUP(MONTH(A13)/3,0))/100,0.03))</f>
        <v>0.06</v>
      </c>
      <c r="C13" s="25" t="n">
        <f aca="false">MAX(0,Penalty!$B$4-SUMIFS(Penalty!$C$10:$C$12,Penalty!$B$10:$B$12,"&lt;"&amp;A13))</f>
        <v>12000</v>
      </c>
      <c r="D13" s="25" t="n">
        <f aca="false">IF(A13&lt;=Penalty!$B$8,C13+F12+IF(A13&gt;Penalty!$B$19,Penalty!$I$5,0)+G12,0)</f>
        <v>13637.9215413583</v>
      </c>
      <c r="E13" s="26" t="n">
        <f aca="false">D13*B13/365</f>
        <v>2.24185011638766</v>
      </c>
      <c r="F13" s="25" t="n">
        <f aca="false">F12+E13*(1-IF(D13&gt;0,(IF(A13&gt;Penalty!$B$19,Penalty!$I$5,0)+G12)/D13,0))</f>
        <v>17.7651026208458</v>
      </c>
      <c r="G13" s="25" t="n">
        <f aca="false">G12+E13*IF(D13&gt;0,(IF(A13&gt;Penalty!$B$19,Penalty!$I$5,0)+G12)/D13,0)</f>
        <v>2.39828885381418</v>
      </c>
    </row>
    <row r="14" customFormat="false" ht="15" hidden="false" customHeight="false" outlineLevel="0" collapsed="false">
      <c r="A14" s="23" t="n">
        <f aca="false">Penalty!$B$5+10</f>
        <v>46137</v>
      </c>
      <c r="B14" s="24" t="n">
        <f aca="false">IF(YEAR(A14)&gt;2026,Penalty!$B$16/100,IFERROR(INDEX(Rates!$B$4:$E$15,MATCH(YEAR(A14),Rates!$A$4:$A$15,0),ROUNDUP(MONTH(A14)/3,0))/100,0.03))</f>
        <v>0.06</v>
      </c>
      <c r="C14" s="25" t="n">
        <f aca="false">MAX(0,Penalty!$B$4-SUMIFS(Penalty!$C$10:$C$12,Penalty!$B$10:$B$12,"&lt;"&amp;A14))</f>
        <v>12000</v>
      </c>
      <c r="D14" s="25" t="n">
        <f aca="false">IF(A14&lt;=Penalty!$B$8,C14+F13+IF(A14&gt;Penalty!$B$19,Penalty!$I$5,0)+G13,0)</f>
        <v>13640.1633914747</v>
      </c>
      <c r="E14" s="26" t="n">
        <f aca="false">D14*B14/365</f>
        <v>2.24221863969446</v>
      </c>
      <c r="F14" s="25" t="n">
        <f aca="false">F13+E14*(1-IF(D14&gt;0,(IF(A14&gt;Penalty!$B$19,Penalty!$I$5,0)+G13)/D14,0))</f>
        <v>19.7406256514136</v>
      </c>
      <c r="G14" s="25" t="n">
        <f aca="false">G13+E14*IF(D14&gt;0,(IF(A14&gt;Penalty!$B$19,Penalty!$I$5,0)+G13)/D14,0)</f>
        <v>2.66498446294083</v>
      </c>
    </row>
    <row r="15" customFormat="false" ht="15" hidden="false" customHeight="false" outlineLevel="0" collapsed="false">
      <c r="A15" s="23" t="n">
        <f aca="false">Penalty!$B$5+11</f>
        <v>46138</v>
      </c>
      <c r="B15" s="24" t="n">
        <f aca="false">IF(YEAR(A15)&gt;2026,Penalty!$B$16/100,IFERROR(INDEX(Rates!$B$4:$E$15,MATCH(YEAR(A15),Rates!$A$4:$A$15,0),ROUNDUP(MONTH(A15)/3,0))/100,0.03))</f>
        <v>0.06</v>
      </c>
      <c r="C15" s="25" t="n">
        <f aca="false">MAX(0,Penalty!$B$4-SUMIFS(Penalty!$C$10:$C$12,Penalty!$B$10:$B$12,"&lt;"&amp;A15))</f>
        <v>12000</v>
      </c>
      <c r="D15" s="25" t="n">
        <f aca="false">IF(A15&lt;=Penalty!$B$8,C15+F14+IF(A15&gt;Penalty!$B$19,Penalty!$I$5,0)+G14,0)</f>
        <v>13642.4056101144</v>
      </c>
      <c r="E15" s="26" t="n">
        <f aca="false">D15*B15/365</f>
        <v>2.24258722358044</v>
      </c>
      <c r="F15" s="25" t="n">
        <f aca="false">F14+E15*(1-IF(D15&gt;0,(IF(A15&gt;Penalty!$B$19,Penalty!$I$5,0)+G14)/D15,0))</f>
        <v>21.7164734254933</v>
      </c>
      <c r="G15" s="25" t="n">
        <f aca="false">G14+E15*IF(D15&gt;0,(IF(A15&gt;Penalty!$B$19,Penalty!$I$5,0)+G14)/D15,0)</f>
        <v>2.93172391244159</v>
      </c>
    </row>
    <row r="16" customFormat="false" ht="15" hidden="false" customHeight="false" outlineLevel="0" collapsed="false">
      <c r="A16" s="23" t="n">
        <f aca="false">Penalty!$B$5+12</f>
        <v>46139</v>
      </c>
      <c r="B16" s="24" t="n">
        <f aca="false">IF(YEAR(A16)&gt;2026,Penalty!$B$16/100,IFERROR(INDEX(Rates!$B$4:$E$15,MATCH(YEAR(A16),Rates!$A$4:$A$15,0),ROUNDUP(MONTH(A16)/3,0))/100,0.03))</f>
        <v>0.06</v>
      </c>
      <c r="C16" s="25" t="n">
        <f aca="false">MAX(0,Penalty!$B$4-SUMIFS(Penalty!$C$10:$C$12,Penalty!$B$10:$B$12,"&lt;"&amp;A16))</f>
        <v>12000</v>
      </c>
      <c r="D16" s="25" t="n">
        <f aca="false">IF(A16&lt;=Penalty!$B$8,C16+F15+IF(A16&gt;Penalty!$B$19,Penalty!$I$5,0)+G15,0)</f>
        <v>13644.6481973379</v>
      </c>
      <c r="E16" s="26" t="n">
        <f aca="false">D16*B16/365</f>
        <v>2.24295586805555</v>
      </c>
      <c r="F16" s="25" t="n">
        <f aca="false">F15+E16*(1-IF(D16&gt;0,(IF(A16&gt;Penalty!$B$19,Penalty!$I$5,0)+G15)/D16,0))</f>
        <v>23.6926459964673</v>
      </c>
      <c r="G16" s="25" t="n">
        <f aca="false">G15+E16*IF(D16&gt;0,(IF(A16&gt;Penalty!$B$19,Penalty!$I$5,0)+G15)/D16,0)</f>
        <v>3.19850720952309</v>
      </c>
    </row>
    <row r="17" customFormat="false" ht="15" hidden="false" customHeight="false" outlineLevel="0" collapsed="false">
      <c r="A17" s="23" t="n">
        <f aca="false">Penalty!$B$5+13</f>
        <v>46140</v>
      </c>
      <c r="B17" s="24" t="n">
        <f aca="false">IF(YEAR(A17)&gt;2026,Penalty!$B$16/100,IFERROR(INDEX(Rates!$B$4:$E$15,MATCH(YEAR(A17),Rates!$A$4:$A$15,0),ROUNDUP(MONTH(A17)/3,0))/100,0.03))</f>
        <v>0.06</v>
      </c>
      <c r="C17" s="25" t="n">
        <f aca="false">MAX(0,Penalty!$B$4-SUMIFS(Penalty!$C$10:$C$12,Penalty!$B$10:$B$12,"&lt;"&amp;A17))</f>
        <v>12000</v>
      </c>
      <c r="D17" s="25" t="n">
        <f aca="false">IF(A17&lt;=Penalty!$B$8,C17+F16+IF(A17&gt;Penalty!$B$19,Penalty!$I$5,0)+G16,0)</f>
        <v>13646.891153206</v>
      </c>
      <c r="E17" s="26" t="n">
        <f aca="false">D17*B17/365</f>
        <v>2.24332457312975</v>
      </c>
      <c r="F17" s="25" t="n">
        <f aca="false">F16+E17*(1-IF(D17&gt;0,(IF(A17&gt;Penalty!$B$19,Penalty!$I$5,0)+G16)/D17,0))</f>
        <v>25.669143417727</v>
      </c>
      <c r="G17" s="25" t="n">
        <f aca="false">G16+E17*IF(D17&gt;0,(IF(A17&gt;Penalty!$B$19,Penalty!$I$5,0)+G16)/D17,0)</f>
        <v>3.46533436139315</v>
      </c>
    </row>
    <row r="18" customFormat="false" ht="15" hidden="false" customHeight="false" outlineLevel="0" collapsed="false">
      <c r="A18" s="23" t="n">
        <f aca="false">Penalty!$B$5+14</f>
        <v>46141</v>
      </c>
      <c r="B18" s="24" t="n">
        <f aca="false">IF(YEAR(A18)&gt;2026,Penalty!$B$16/100,IFERROR(INDEX(Rates!$B$4:$E$15,MATCH(YEAR(A18),Rates!$A$4:$A$15,0),ROUNDUP(MONTH(A18)/3,0))/100,0.03))</f>
        <v>0.06</v>
      </c>
      <c r="C18" s="25" t="n">
        <f aca="false">MAX(0,Penalty!$B$4-SUMIFS(Penalty!$C$10:$C$12,Penalty!$B$10:$B$12,"&lt;"&amp;A18))</f>
        <v>12000</v>
      </c>
      <c r="D18" s="25" t="n">
        <f aca="false">IF(A18&lt;=Penalty!$B$8,C18+F17+IF(A18&gt;Penalty!$B$19,Penalty!$I$5,0)+G17,0)</f>
        <v>13649.1344777791</v>
      </c>
      <c r="E18" s="26" t="n">
        <f aca="false">D18*B18/365</f>
        <v>2.24369333881301</v>
      </c>
      <c r="F18" s="25" t="n">
        <f aca="false">F17+E18*(1-IF(D18&gt;0,(IF(A18&gt;Penalty!$B$19,Penalty!$I$5,0)+G17)/D18,0))</f>
        <v>27.6459657426724</v>
      </c>
      <c r="G18" s="25" t="n">
        <f aca="false">G17+E18*IF(D18&gt;0,(IF(A18&gt;Penalty!$B$19,Penalty!$I$5,0)+G17)/D18,0)</f>
        <v>3.73220537526077</v>
      </c>
    </row>
    <row r="19" customFormat="false" ht="15" hidden="false" customHeight="false" outlineLevel="0" collapsed="false">
      <c r="A19" s="23" t="n">
        <f aca="false">Penalty!$B$5+15</f>
        <v>46142</v>
      </c>
      <c r="B19" s="24" t="n">
        <f aca="false">IF(YEAR(A19)&gt;2026,Penalty!$B$16/100,IFERROR(INDEX(Rates!$B$4:$E$15,MATCH(YEAR(A19),Rates!$A$4:$A$15,0),ROUNDUP(MONTH(A19)/3,0))/100,0.03))</f>
        <v>0.06</v>
      </c>
      <c r="C19" s="25" t="n">
        <f aca="false">MAX(0,Penalty!$B$4-SUMIFS(Penalty!$C$10:$C$12,Penalty!$B$10:$B$12,"&lt;"&amp;A19))</f>
        <v>12000</v>
      </c>
      <c r="D19" s="25" t="n">
        <f aca="false">IF(A19&lt;=Penalty!$B$8,C19+F18+IF(A19&gt;Penalty!$B$19,Penalty!$I$5,0)+G18,0)</f>
        <v>13651.3781711179</v>
      </c>
      <c r="E19" s="26" t="n">
        <f aca="false">D19*B19/365</f>
        <v>2.24406216511528</v>
      </c>
      <c r="F19" s="25" t="n">
        <f aca="false">F18+E19*(1-IF(D19&gt;0,(IF(A19&gt;Penalty!$B$19,Penalty!$I$5,0)+G18)/D19,0))</f>
        <v>29.6231130247123</v>
      </c>
      <c r="G19" s="25" t="n">
        <f aca="false">G18+E19*IF(D19&gt;0,(IF(A19&gt;Penalty!$B$19,Penalty!$I$5,0)+G18)/D19,0)</f>
        <v>3.99912025833616</v>
      </c>
    </row>
    <row r="20" customFormat="false" ht="15" hidden="false" customHeight="false" outlineLevel="0" collapsed="false">
      <c r="A20" s="23" t="n">
        <f aca="false">Penalty!$B$5+16</f>
        <v>46143</v>
      </c>
      <c r="B20" s="24" t="n">
        <f aca="false">IF(YEAR(A20)&gt;2026,Penalty!$B$16/100,IFERROR(INDEX(Rates!$B$4:$E$15,MATCH(YEAR(A20),Rates!$A$4:$A$15,0),ROUNDUP(MONTH(A20)/3,0))/100,0.03))</f>
        <v>0.06</v>
      </c>
      <c r="C20" s="25" t="n">
        <f aca="false">MAX(0,Penalty!$B$4-SUMIFS(Penalty!$C$10:$C$12,Penalty!$B$10:$B$12,"&lt;"&amp;A20))</f>
        <v>12000</v>
      </c>
      <c r="D20" s="25" t="n">
        <f aca="false">IF(A20&lt;=Penalty!$B$8,C20+F19+IF(A20&gt;Penalty!$B$19,Penalty!$I$5,0)+G19,0)</f>
        <v>13653.6222332831</v>
      </c>
      <c r="E20" s="26" t="n">
        <f aca="false">D20*B20/365</f>
        <v>2.24443105204653</v>
      </c>
      <c r="F20" s="25" t="n">
        <f aca="false">F19+E20*(1-IF(D20&gt;0,(IF(A20&gt;Penalty!$B$19,Penalty!$I$5,0)+G19)/D20,0))</f>
        <v>31.6005853172643</v>
      </c>
      <c r="G20" s="25" t="n">
        <f aca="false">G19+E20*IF(D20&gt;0,(IF(A20&gt;Penalty!$B$19,Penalty!$I$5,0)+G19)/D20,0)</f>
        <v>4.26607901783068</v>
      </c>
    </row>
    <row r="21" customFormat="false" ht="15" hidden="false" customHeight="false" outlineLevel="0" collapsed="false">
      <c r="A21" s="23" t="n">
        <f aca="false">Penalty!$B$5+17</f>
        <v>46144</v>
      </c>
      <c r="B21" s="24" t="n">
        <f aca="false">IF(YEAR(A21)&gt;2026,Penalty!$B$16/100,IFERROR(INDEX(Rates!$B$4:$E$15,MATCH(YEAR(A21),Rates!$A$4:$A$15,0),ROUNDUP(MONTH(A21)/3,0))/100,0.03))</f>
        <v>0.06</v>
      </c>
      <c r="C21" s="25" t="n">
        <f aca="false">MAX(0,Penalty!$B$4-SUMIFS(Penalty!$C$10:$C$12,Penalty!$B$10:$B$12,"&lt;"&amp;A21))</f>
        <v>12000</v>
      </c>
      <c r="D21" s="25" t="n">
        <f aca="false">IF(A21&lt;=Penalty!$B$8,C21+F20+IF(A21&gt;Penalty!$B$19,Penalty!$I$5,0)+G20,0)</f>
        <v>13655.8666643351</v>
      </c>
      <c r="E21" s="26" t="n">
        <f aca="false">D21*B21/365</f>
        <v>2.24479999961673</v>
      </c>
      <c r="F21" s="25" t="n">
        <f aca="false">F20+E21*(1-IF(D21&gt;0,(IF(A21&gt;Penalty!$B$19,Penalty!$I$5,0)+G20)/D21,0))</f>
        <v>33.5783826737548</v>
      </c>
      <c r="G21" s="25" t="n">
        <f aca="false">G20+E21*IF(D21&gt;0,(IF(A21&gt;Penalty!$B$19,Penalty!$I$5,0)+G20)/D21,0)</f>
        <v>4.5330816609569</v>
      </c>
    </row>
    <row r="22" customFormat="false" ht="15" hidden="false" customHeight="false" outlineLevel="0" collapsed="false">
      <c r="A22" s="23" t="n">
        <f aca="false">Penalty!$B$5+18</f>
        <v>46145</v>
      </c>
      <c r="B22" s="24" t="n">
        <f aca="false">IF(YEAR(A22)&gt;2026,Penalty!$B$16/100,IFERROR(INDEX(Rates!$B$4:$E$15,MATCH(YEAR(A22),Rates!$A$4:$A$15,0),ROUNDUP(MONTH(A22)/3,0))/100,0.03))</f>
        <v>0.06</v>
      </c>
      <c r="C22" s="25" t="n">
        <f aca="false">MAX(0,Penalty!$B$4-SUMIFS(Penalty!$C$10:$C$12,Penalty!$B$10:$B$12,"&lt;"&amp;A22))</f>
        <v>12000</v>
      </c>
      <c r="D22" s="25" t="n">
        <f aca="false">IF(A22&lt;=Penalty!$B$8,C22+F21+IF(A22&gt;Penalty!$B$19,Penalty!$I$5,0)+G21,0)</f>
        <v>13658.1114643347</v>
      </c>
      <c r="E22" s="26" t="n">
        <f aca="false">D22*B22/365</f>
        <v>2.24516900783584</v>
      </c>
      <c r="F22" s="25" t="n">
        <f aca="false">F21+E22*(1-IF(D22&gt;0,(IF(A22&gt;Penalty!$B$19,Penalty!$I$5,0)+G21)/D22,0))</f>
        <v>35.556505147619</v>
      </c>
      <c r="G22" s="25" t="n">
        <f aca="false">G21+E22*IF(D22&gt;0,(IF(A22&gt;Penalty!$B$19,Penalty!$I$5,0)+G21)/D22,0)</f>
        <v>4.80012819492856</v>
      </c>
    </row>
    <row r="23" customFormat="false" ht="15" hidden="false" customHeight="false" outlineLevel="0" collapsed="false">
      <c r="A23" s="23" t="n">
        <f aca="false">Penalty!$B$5+19</f>
        <v>46146</v>
      </c>
      <c r="B23" s="24" t="n">
        <f aca="false">IF(YEAR(A23)&gt;2026,Penalty!$B$16/100,IFERROR(INDEX(Rates!$B$4:$E$15,MATCH(YEAR(A23),Rates!$A$4:$A$15,0),ROUNDUP(MONTH(A23)/3,0))/100,0.03))</f>
        <v>0.06</v>
      </c>
      <c r="C23" s="25" t="n">
        <f aca="false">MAX(0,Penalty!$B$4-SUMIFS(Penalty!$C$10:$C$12,Penalty!$B$10:$B$12,"&lt;"&amp;A23))</f>
        <v>12000</v>
      </c>
      <c r="D23" s="25" t="n">
        <f aca="false">IF(A23&lt;=Penalty!$B$8,C23+F22+IF(A23&gt;Penalty!$B$19,Penalty!$I$5,0)+G22,0)</f>
        <v>13660.3566333425</v>
      </c>
      <c r="E23" s="26" t="n">
        <f aca="false">D23*B23/365</f>
        <v>2.24553807671384</v>
      </c>
      <c r="F23" s="25" t="n">
        <f aca="false">F22+E23*(1-IF(D23&gt;0,(IF(A23&gt;Penalty!$B$19,Penalty!$I$5,0)+G22)/D23,0))</f>
        <v>37.5349527923008</v>
      </c>
      <c r="G23" s="25" t="n">
        <f aca="false">G22+E23*IF(D23&gt;0,(IF(A23&gt;Penalty!$B$19,Penalty!$I$5,0)+G22)/D23,0)</f>
        <v>5.06721862696061</v>
      </c>
    </row>
    <row r="24" customFormat="false" ht="15" hidden="false" customHeight="false" outlineLevel="0" collapsed="false">
      <c r="A24" s="23" t="n">
        <f aca="false">Penalty!$B$5+20</f>
        <v>46147</v>
      </c>
      <c r="B24" s="24" t="n">
        <f aca="false">IF(YEAR(A24)&gt;2026,Penalty!$B$16/100,IFERROR(INDEX(Rates!$B$4:$E$15,MATCH(YEAR(A24),Rates!$A$4:$A$15,0),ROUNDUP(MONTH(A24)/3,0))/100,0.03))</f>
        <v>0.06</v>
      </c>
      <c r="C24" s="25" t="n">
        <f aca="false">MAX(0,Penalty!$B$4-SUMIFS(Penalty!$C$10:$C$12,Penalty!$B$10:$B$12,"&lt;"&amp;A24))</f>
        <v>12000</v>
      </c>
      <c r="D24" s="25" t="n">
        <f aca="false">IF(A24&lt;=Penalty!$B$8,C24+F23+IF(A24&gt;Penalty!$B$19,Penalty!$I$5,0)+G23,0)</f>
        <v>13662.6021714193</v>
      </c>
      <c r="E24" s="26" t="n">
        <f aca="false">D24*B24/365</f>
        <v>2.2459072062607</v>
      </c>
      <c r="F24" s="25" t="n">
        <f aca="false">F23+E24*(1-IF(D24&gt;0,(IF(A24&gt;Penalty!$B$19,Penalty!$I$5,0)+G23)/D24,0))</f>
        <v>39.513725661253</v>
      </c>
      <c r="G24" s="25" t="n">
        <f aca="false">G23+E24*IF(D24&gt;0,(IF(A24&gt;Penalty!$B$19,Penalty!$I$5,0)+G23)/D24,0)</f>
        <v>5.33435296426915</v>
      </c>
    </row>
    <row r="25" customFormat="false" ht="15" hidden="false" customHeight="false" outlineLevel="0" collapsed="false">
      <c r="A25" s="23" t="n">
        <f aca="false">Penalty!$B$5+21</f>
        <v>46148</v>
      </c>
      <c r="B25" s="24" t="n">
        <f aca="false">IF(YEAR(A25)&gt;2026,Penalty!$B$16/100,IFERROR(INDEX(Rates!$B$4:$E$15,MATCH(YEAR(A25),Rates!$A$4:$A$15,0),ROUNDUP(MONTH(A25)/3,0))/100,0.03))</f>
        <v>0.06</v>
      </c>
      <c r="C25" s="25" t="n">
        <f aca="false">MAX(0,Penalty!$B$4-SUMIFS(Penalty!$C$10:$C$12,Penalty!$B$10:$B$12,"&lt;"&amp;A25))</f>
        <v>12000</v>
      </c>
      <c r="D25" s="25" t="n">
        <f aca="false">IF(A25&lt;=Penalty!$B$8,C25+F24+IF(A25&gt;Penalty!$B$19,Penalty!$I$5,0)+G24,0)</f>
        <v>13664.8480786255</v>
      </c>
      <c r="E25" s="26" t="n">
        <f aca="false">D25*B25/365</f>
        <v>2.24627639648639</v>
      </c>
      <c r="F25" s="25" t="n">
        <f aca="false">F24+E25*(1-IF(D25&gt;0,(IF(A25&gt;Penalty!$B$19,Penalty!$I$5,0)+G24)/D25,0))</f>
        <v>41.492823807937</v>
      </c>
      <c r="G25" s="25" t="n">
        <f aca="false">G24+E25*IF(D25&gt;0,(IF(A25&gt;Penalty!$B$19,Penalty!$I$5,0)+G24)/D25,0)</f>
        <v>5.60153121407149</v>
      </c>
    </row>
    <row r="26" customFormat="false" ht="15" hidden="false" customHeight="false" outlineLevel="0" collapsed="false">
      <c r="A26" s="23" t="n">
        <f aca="false">Penalty!$B$5+22</f>
        <v>46149</v>
      </c>
      <c r="B26" s="24" t="n">
        <f aca="false">IF(YEAR(A26)&gt;2026,Penalty!$B$16/100,IFERROR(INDEX(Rates!$B$4:$E$15,MATCH(YEAR(A26),Rates!$A$4:$A$15,0),ROUNDUP(MONTH(A26)/3,0))/100,0.03))</f>
        <v>0.06</v>
      </c>
      <c r="C26" s="25" t="n">
        <f aca="false">MAX(0,Penalty!$B$4-SUMIFS(Penalty!$C$10:$C$12,Penalty!$B$10:$B$12,"&lt;"&amp;A26))</f>
        <v>12000</v>
      </c>
      <c r="D26" s="25" t="n">
        <f aca="false">IF(A26&lt;=Penalty!$B$8,C26+F25+IF(A26&gt;Penalty!$B$19,Penalty!$I$5,0)+G25,0)</f>
        <v>13667.094355022</v>
      </c>
      <c r="E26" s="26" t="n">
        <f aca="false">D26*B26/365</f>
        <v>2.24664564740088</v>
      </c>
      <c r="F26" s="25" t="n">
        <f aca="false">F25+E26*(1-IF(D26&gt;0,(IF(A26&gt;Penalty!$B$19,Penalty!$I$5,0)+G25)/D26,0))</f>
        <v>43.4722472858232</v>
      </c>
      <c r="G26" s="25" t="n">
        <f aca="false">G25+E26*IF(D26&gt;0,(IF(A26&gt;Penalty!$B$19,Penalty!$I$5,0)+G25)/D26,0)</f>
        <v>5.86875338358613</v>
      </c>
    </row>
    <row r="27" customFormat="false" ht="15" hidden="false" customHeight="false" outlineLevel="0" collapsed="false">
      <c r="A27" s="23" t="n">
        <f aca="false">Penalty!$B$5+23</f>
        <v>46150</v>
      </c>
      <c r="B27" s="24" t="n">
        <f aca="false">IF(YEAR(A27)&gt;2026,Penalty!$B$16/100,IFERROR(INDEX(Rates!$B$4:$E$15,MATCH(YEAR(A27),Rates!$A$4:$A$15,0),ROUNDUP(MONTH(A27)/3,0))/100,0.03))</f>
        <v>0.06</v>
      </c>
      <c r="C27" s="25" t="n">
        <f aca="false">MAX(0,Penalty!$B$4-SUMIFS(Penalty!$C$10:$C$12,Penalty!$B$10:$B$12,"&lt;"&amp;A27))</f>
        <v>12000</v>
      </c>
      <c r="D27" s="25" t="n">
        <f aca="false">IF(A27&lt;=Penalty!$B$8,C27+F26+IF(A27&gt;Penalty!$B$19,Penalty!$I$5,0)+G26,0)</f>
        <v>13669.3410006694</v>
      </c>
      <c r="E27" s="26" t="n">
        <f aca="false">D27*B27/365</f>
        <v>2.24701495901415</v>
      </c>
      <c r="F27" s="25" t="n">
        <f aca="false">F26+E27*(1-IF(D27&gt;0,(IF(A27&gt;Penalty!$B$19,Penalty!$I$5,0)+G26)/D27,0))</f>
        <v>45.4519961483908</v>
      </c>
      <c r="G27" s="25" t="n">
        <f aca="false">G26+E27*IF(D27&gt;0,(IF(A27&gt;Penalty!$B$19,Penalty!$I$5,0)+G26)/D27,0)</f>
        <v>6.13601948003275</v>
      </c>
    </row>
    <row r="28" customFormat="false" ht="15" hidden="false" customHeight="false" outlineLevel="0" collapsed="false">
      <c r="A28" s="23" t="n">
        <f aca="false">Penalty!$B$5+24</f>
        <v>46151</v>
      </c>
      <c r="B28" s="24" t="n">
        <f aca="false">IF(YEAR(A28)&gt;2026,Penalty!$B$16/100,IFERROR(INDEX(Rates!$B$4:$E$15,MATCH(YEAR(A28),Rates!$A$4:$A$15,0),ROUNDUP(MONTH(A28)/3,0))/100,0.03))</f>
        <v>0.06</v>
      </c>
      <c r="C28" s="25" t="n">
        <f aca="false">MAX(0,Penalty!$B$4-SUMIFS(Penalty!$C$10:$C$12,Penalty!$B$10:$B$12,"&lt;"&amp;A28))</f>
        <v>12000</v>
      </c>
      <c r="D28" s="25" t="n">
        <f aca="false">IF(A28&lt;=Penalty!$B$8,C28+F27+IF(A28&gt;Penalty!$B$19,Penalty!$I$5,0)+G27,0)</f>
        <v>13671.5880156284</v>
      </c>
      <c r="E28" s="26" t="n">
        <f aca="false">D28*B28/365</f>
        <v>2.24738433133618</v>
      </c>
      <c r="F28" s="25" t="n">
        <f aca="false">F27+E28*(1-IF(D28&gt;0,(IF(A28&gt;Penalty!$B$19,Penalty!$I$5,0)+G27)/D28,0))</f>
        <v>47.4320704491275</v>
      </c>
      <c r="G28" s="25" t="n">
        <f aca="false">G27+E28*IF(D28&gt;0,(IF(A28&gt;Penalty!$B$19,Penalty!$I$5,0)+G27)/D28,0)</f>
        <v>6.40332951063221</v>
      </c>
    </row>
    <row r="29" customFormat="false" ht="15" hidden="false" customHeight="false" outlineLevel="0" collapsed="false">
      <c r="A29" s="23" t="n">
        <f aca="false">Penalty!$B$5+25</f>
        <v>46152</v>
      </c>
      <c r="B29" s="24" t="n">
        <f aca="false">IF(YEAR(A29)&gt;2026,Penalty!$B$16/100,IFERROR(INDEX(Rates!$B$4:$E$15,MATCH(YEAR(A29),Rates!$A$4:$A$15,0),ROUNDUP(MONTH(A29)/3,0))/100,0.03))</f>
        <v>0.06</v>
      </c>
      <c r="C29" s="25" t="n">
        <f aca="false">MAX(0,Penalty!$B$4-SUMIFS(Penalty!$C$10:$C$12,Penalty!$B$10:$B$12,"&lt;"&amp;A29))</f>
        <v>12000</v>
      </c>
      <c r="D29" s="25" t="n">
        <f aca="false">IF(A29&lt;=Penalty!$B$8,C29+F28+IF(A29&gt;Penalty!$B$19,Penalty!$I$5,0)+G28,0)</f>
        <v>13673.8353999598</v>
      </c>
      <c r="E29" s="26" t="n">
        <f aca="false">D29*B29/365</f>
        <v>2.24775376437695</v>
      </c>
      <c r="F29" s="25" t="n">
        <f aca="false">F28+E29*(1-IF(D29&gt;0,(IF(A29&gt;Penalty!$B$19,Penalty!$I$5,0)+G28)/D29,0))</f>
        <v>49.4124702415301</v>
      </c>
      <c r="G29" s="25" t="n">
        <f aca="false">G28+E29*IF(D29&gt;0,(IF(A29&gt;Penalty!$B$19,Penalty!$I$5,0)+G28)/D29,0)</f>
        <v>6.67068348260656</v>
      </c>
    </row>
    <row r="30" customFormat="false" ht="15" hidden="false" customHeight="false" outlineLevel="0" collapsed="false">
      <c r="A30" s="23" t="n">
        <f aca="false">Penalty!$B$5+26</f>
        <v>46153</v>
      </c>
      <c r="B30" s="24" t="n">
        <f aca="false">IF(YEAR(A30)&gt;2026,Penalty!$B$16/100,IFERROR(INDEX(Rates!$B$4:$E$15,MATCH(YEAR(A30),Rates!$A$4:$A$15,0),ROUNDUP(MONTH(A30)/3,0))/100,0.03))</f>
        <v>0.06</v>
      </c>
      <c r="C30" s="25" t="n">
        <f aca="false">MAX(0,Penalty!$B$4-SUMIFS(Penalty!$C$10:$C$12,Penalty!$B$10:$B$12,"&lt;"&amp;A30))</f>
        <v>12000</v>
      </c>
      <c r="D30" s="25" t="n">
        <f aca="false">IF(A30&lt;=Penalty!$B$8,C30+F29+IF(A30&gt;Penalty!$B$19,Penalty!$I$5,0)+G29,0)</f>
        <v>13676.0831537241</v>
      </c>
      <c r="E30" s="26" t="n">
        <f aca="false">D30*B30/365</f>
        <v>2.24812325814643</v>
      </c>
      <c r="F30" s="25" t="n">
        <f aca="false">F29+E30*(1-IF(D30&gt;0,(IF(A30&gt;Penalty!$B$19,Penalty!$I$5,0)+G29)/D30,0))</f>
        <v>51.393195579104</v>
      </c>
      <c r="G30" s="25" t="n">
        <f aca="false">G29+E30*IF(D30&gt;0,(IF(A30&gt;Penalty!$B$19,Penalty!$I$5,0)+G29)/D30,0)</f>
        <v>6.93808140317904</v>
      </c>
    </row>
    <row r="31" customFormat="false" ht="15" hidden="false" customHeight="false" outlineLevel="0" collapsed="false">
      <c r="A31" s="23" t="n">
        <f aca="false">Penalty!$B$5+27</f>
        <v>46154</v>
      </c>
      <c r="B31" s="24" t="n">
        <f aca="false">IF(YEAR(A31)&gt;2026,Penalty!$B$16/100,IFERROR(INDEX(Rates!$B$4:$E$15,MATCH(YEAR(A31),Rates!$A$4:$A$15,0),ROUNDUP(MONTH(A31)/3,0))/100,0.03))</f>
        <v>0.06</v>
      </c>
      <c r="C31" s="25" t="n">
        <f aca="false">MAX(0,Penalty!$B$4-SUMIFS(Penalty!$C$10:$C$12,Penalty!$B$10:$B$12,"&lt;"&amp;A31))</f>
        <v>12000</v>
      </c>
      <c r="D31" s="25" t="n">
        <f aca="false">IF(A31&lt;=Penalty!$B$8,C31+F30+IF(A31&gt;Penalty!$B$19,Penalty!$I$5,0)+G30,0)</f>
        <v>13678.3312769823</v>
      </c>
      <c r="E31" s="26" t="n">
        <f aca="false">D31*B31/365</f>
        <v>2.24849281265462</v>
      </c>
      <c r="F31" s="25" t="n">
        <f aca="false">F30+E31*(1-IF(D31&gt;0,(IF(A31&gt;Penalty!$B$19,Penalty!$I$5,0)+G30)/D31,0))</f>
        <v>53.3742465153636</v>
      </c>
      <c r="G31" s="25" t="n">
        <f aca="false">G30+E31*IF(D31&gt;0,(IF(A31&gt;Penalty!$B$19,Penalty!$I$5,0)+G30)/D31,0)</f>
        <v>7.20552327957409</v>
      </c>
    </row>
    <row r="32" customFormat="false" ht="15" hidden="false" customHeight="false" outlineLevel="0" collapsed="false">
      <c r="A32" s="23" t="n">
        <f aca="false">Penalty!$B$5+28</f>
        <v>46155</v>
      </c>
      <c r="B32" s="24" t="n">
        <f aca="false">IF(YEAR(A32)&gt;2026,Penalty!$B$16/100,IFERROR(INDEX(Rates!$B$4:$E$15,MATCH(YEAR(A32),Rates!$A$4:$A$15,0),ROUNDUP(MONTH(A32)/3,0))/100,0.03))</f>
        <v>0.06</v>
      </c>
      <c r="C32" s="25" t="n">
        <f aca="false">MAX(0,Penalty!$B$4-SUMIFS(Penalty!$C$10:$C$12,Penalty!$B$10:$B$12,"&lt;"&amp;A32))</f>
        <v>12000</v>
      </c>
      <c r="D32" s="25" t="n">
        <f aca="false">IF(A32&lt;=Penalty!$B$8,C32+F31+IF(A32&gt;Penalty!$B$19,Penalty!$I$5,0)+G31,0)</f>
        <v>13680.5797697949</v>
      </c>
      <c r="E32" s="26" t="n">
        <f aca="false">D32*B32/365</f>
        <v>2.2488624279115</v>
      </c>
      <c r="F32" s="25" t="n">
        <f aca="false">F31+E32*(1-IF(D32&gt;0,(IF(A32&gt;Penalty!$B$19,Penalty!$I$5,0)+G31)/D32,0))</f>
        <v>55.3556231038319</v>
      </c>
      <c r="G32" s="25" t="n">
        <f aca="false">G31+E32*IF(D32&gt;0,(IF(A32&gt;Penalty!$B$19,Penalty!$I$5,0)+G31)/D32,0)</f>
        <v>7.4730091190173</v>
      </c>
    </row>
    <row r="33" customFormat="false" ht="15" hidden="false" customHeight="false" outlineLevel="0" collapsed="false">
      <c r="A33" s="23" t="n">
        <f aca="false">Penalty!$B$5+29</f>
        <v>46156</v>
      </c>
      <c r="B33" s="24" t="n">
        <f aca="false">IF(YEAR(A33)&gt;2026,Penalty!$B$16/100,IFERROR(INDEX(Rates!$B$4:$E$15,MATCH(YEAR(A33),Rates!$A$4:$A$15,0),ROUNDUP(MONTH(A33)/3,0))/100,0.03))</f>
        <v>0.06</v>
      </c>
      <c r="C33" s="25" t="n">
        <f aca="false">MAX(0,Penalty!$B$4-SUMIFS(Penalty!$C$10:$C$12,Penalty!$B$10:$B$12,"&lt;"&amp;A33))</f>
        <v>12000</v>
      </c>
      <c r="D33" s="25" t="n">
        <f aca="false">IF(A33&lt;=Penalty!$B$8,C33+F32+IF(A33&gt;Penalty!$B$19,Penalty!$I$5,0)+G32,0)</f>
        <v>13682.8286322228</v>
      </c>
      <c r="E33" s="26" t="n">
        <f aca="false">D33*B33/365</f>
        <v>2.24923210392704</v>
      </c>
      <c r="F33" s="25" t="n">
        <f aca="false">F32+E33*(1-IF(D33&gt;0,(IF(A33&gt;Penalty!$B$19,Penalty!$I$5,0)+G32)/D33,0))</f>
        <v>57.3373253980407</v>
      </c>
      <c r="G33" s="25" t="n">
        <f aca="false">G32+E33*IF(D33&gt;0,(IF(A33&gt;Penalty!$B$19,Penalty!$I$5,0)+G32)/D33,0)</f>
        <v>7.7405389287355</v>
      </c>
    </row>
    <row r="34" customFormat="false" ht="15" hidden="false" customHeight="false" outlineLevel="0" collapsed="false">
      <c r="A34" s="23" t="n">
        <f aca="false">Penalty!$B$5+30</f>
        <v>46157</v>
      </c>
      <c r="B34" s="24" t="n">
        <f aca="false">IF(YEAR(A34)&gt;2026,Penalty!$B$16/100,IFERROR(INDEX(Rates!$B$4:$E$15,MATCH(YEAR(A34),Rates!$A$4:$A$15,0),ROUNDUP(MONTH(A34)/3,0))/100,0.03))</f>
        <v>0.06</v>
      </c>
      <c r="C34" s="25" t="n">
        <f aca="false">MAX(0,Penalty!$B$4-SUMIFS(Penalty!$C$10:$C$12,Penalty!$B$10:$B$12,"&lt;"&amp;A34))</f>
        <v>12000</v>
      </c>
      <c r="D34" s="25" t="n">
        <f aca="false">IF(A34&lt;=Penalty!$B$8,C34+F33+IF(A34&gt;Penalty!$B$19,Penalty!$I$5,0)+G33,0)</f>
        <v>13685.0778643268</v>
      </c>
      <c r="E34" s="26" t="n">
        <f aca="false">D34*B34/365</f>
        <v>2.24960184071125</v>
      </c>
      <c r="F34" s="25" t="n">
        <f aca="false">F33+E34*(1-IF(D34&gt;0,(IF(A34&gt;Penalty!$B$19,Penalty!$I$5,0)+G33)/D34,0))</f>
        <v>59.3193534515308</v>
      </c>
      <c r="G34" s="25" t="n">
        <f aca="false">G33+E34*IF(D34&gt;0,(IF(A34&gt;Penalty!$B$19,Penalty!$I$5,0)+G33)/D34,0)</f>
        <v>8.00811271595666</v>
      </c>
    </row>
    <row r="35" customFormat="false" ht="15" hidden="false" customHeight="false" outlineLevel="0" collapsed="false">
      <c r="A35" s="23" t="n">
        <f aca="false">Penalty!$B$5+31</f>
        <v>46158</v>
      </c>
      <c r="B35" s="24" t="n">
        <f aca="false">IF(YEAR(A35)&gt;2026,Penalty!$B$16/100,IFERROR(INDEX(Rates!$B$4:$E$15,MATCH(YEAR(A35),Rates!$A$4:$A$15,0),ROUNDUP(MONTH(A35)/3,0))/100,0.03))</f>
        <v>0.06</v>
      </c>
      <c r="C35" s="25" t="n">
        <f aca="false">MAX(0,Penalty!$B$4-SUMIFS(Penalty!$C$10:$C$12,Penalty!$B$10:$B$12,"&lt;"&amp;A35))</f>
        <v>12000</v>
      </c>
      <c r="D35" s="25" t="n">
        <f aca="false">IF(A35&lt;=Penalty!$B$8,C35+F34+IF(A35&gt;Penalty!$B$19,Penalty!$I$5,0)+G34,0)</f>
        <v>13687.3274661675</v>
      </c>
      <c r="E35" s="26" t="n">
        <f aca="false">D35*B35/365</f>
        <v>2.24997163827411</v>
      </c>
      <c r="F35" s="25" t="n">
        <f aca="false">F34+E35*(1-IF(D35&gt;0,(IF(A35&gt;Penalty!$B$19,Penalty!$I$5,0)+G34)/D35,0))</f>
        <v>61.3017073178516</v>
      </c>
      <c r="G35" s="25" t="n">
        <f aca="false">G34+E35*IF(D35&gt;0,(IF(A35&gt;Penalty!$B$19,Penalty!$I$5,0)+G34)/D35,0)</f>
        <v>8.27573048790997</v>
      </c>
    </row>
    <row r="36" customFormat="false" ht="15" hidden="false" customHeight="false" outlineLevel="0" collapsed="false">
      <c r="A36" s="23" t="n">
        <f aca="false">Penalty!$B$5+32</f>
        <v>46159</v>
      </c>
      <c r="B36" s="24" t="n">
        <f aca="false">IF(YEAR(A36)&gt;2026,Penalty!$B$16/100,IFERROR(INDEX(Rates!$B$4:$E$15,MATCH(YEAR(A36),Rates!$A$4:$A$15,0),ROUNDUP(MONTH(A36)/3,0))/100,0.03))</f>
        <v>0.06</v>
      </c>
      <c r="C36" s="25" t="n">
        <f aca="false">MAX(0,Penalty!$B$4-SUMIFS(Penalty!$C$10:$C$12,Penalty!$B$10:$B$12,"&lt;"&amp;A36))</f>
        <v>12000</v>
      </c>
      <c r="D36" s="25" t="n">
        <f aca="false">IF(A36&lt;=Penalty!$B$8,C36+F35+IF(A36&gt;Penalty!$B$19,Penalty!$I$5,0)+G35,0)</f>
        <v>13689.5774378058</v>
      </c>
      <c r="E36" s="26" t="n">
        <f aca="false">D36*B36/365</f>
        <v>2.2503414966256</v>
      </c>
      <c r="F36" s="25" t="n">
        <f aca="false">F35+E36*(1-IF(D36&gt;0,(IF(A36&gt;Penalty!$B$19,Penalty!$I$5,0)+G35)/D36,0))</f>
        <v>63.2843870505614</v>
      </c>
      <c r="G36" s="25" t="n">
        <f aca="false">G35+E36*IF(D36&gt;0,(IF(A36&gt;Penalty!$B$19,Penalty!$I$5,0)+G35)/D36,0)</f>
        <v>8.54339225182579</v>
      </c>
    </row>
    <row r="37" customFormat="false" ht="15" hidden="false" customHeight="false" outlineLevel="0" collapsed="false">
      <c r="A37" s="23" t="n">
        <f aca="false">Penalty!$B$5+33</f>
        <v>46160</v>
      </c>
      <c r="B37" s="24" t="n">
        <f aca="false">IF(YEAR(A37)&gt;2026,Penalty!$B$16/100,IFERROR(INDEX(Rates!$B$4:$E$15,MATCH(YEAR(A37),Rates!$A$4:$A$15,0),ROUNDUP(MONTH(A37)/3,0))/100,0.03))</f>
        <v>0.06</v>
      </c>
      <c r="C37" s="25" t="n">
        <f aca="false">MAX(0,Penalty!$B$4-SUMIFS(Penalty!$C$10:$C$12,Penalty!$B$10:$B$12,"&lt;"&amp;A37))</f>
        <v>12000</v>
      </c>
      <c r="D37" s="25" t="n">
        <f aca="false">IF(A37&lt;=Penalty!$B$8,C37+F36+IF(A37&gt;Penalty!$B$19,Penalty!$I$5,0)+G36,0)</f>
        <v>13691.8277793024</v>
      </c>
      <c r="E37" s="26" t="n">
        <f aca="false">D37*B37/365</f>
        <v>2.25071141577574</v>
      </c>
      <c r="F37" s="25" t="n">
        <f aca="false">F36+E37*(1-IF(D37&gt;0,(IF(A37&gt;Penalty!$B$19,Penalty!$I$5,0)+G36)/D37,0))</f>
        <v>65.2673927032273</v>
      </c>
      <c r="G37" s="25" t="n">
        <f aca="false">G36+E37*IF(D37&gt;0,(IF(A37&gt;Penalty!$B$19,Penalty!$I$5,0)+G36)/D37,0)</f>
        <v>8.81109801493568</v>
      </c>
    </row>
    <row r="38" customFormat="false" ht="15" hidden="false" customHeight="false" outlineLevel="0" collapsed="false">
      <c r="A38" s="23" t="n">
        <f aca="false">Penalty!$B$5+34</f>
        <v>46161</v>
      </c>
      <c r="B38" s="24" t="n">
        <f aca="false">IF(YEAR(A38)&gt;2026,Penalty!$B$16/100,IFERROR(INDEX(Rates!$B$4:$E$15,MATCH(YEAR(A38),Rates!$A$4:$A$15,0),ROUNDUP(MONTH(A38)/3,0))/100,0.03))</f>
        <v>0.06</v>
      </c>
      <c r="C38" s="25" t="n">
        <f aca="false">MAX(0,Penalty!$B$4-SUMIFS(Penalty!$C$10:$C$12,Penalty!$B$10:$B$12,"&lt;"&amp;A38))</f>
        <v>12000</v>
      </c>
      <c r="D38" s="25" t="n">
        <f aca="false">IF(A38&lt;=Penalty!$B$8,C38+F37+IF(A38&gt;Penalty!$B$19,Penalty!$I$5,0)+G37,0)</f>
        <v>13694.0784907182</v>
      </c>
      <c r="E38" s="26" t="n">
        <f aca="false">D38*B38/365</f>
        <v>2.25108139573449</v>
      </c>
      <c r="F38" s="25" t="n">
        <f aca="false">F37+E38*(1-IF(D38&gt;0,(IF(A38&gt;Penalty!$B$19,Penalty!$I$5,0)+G37)/D38,0))</f>
        <v>67.2507243294251</v>
      </c>
      <c r="G38" s="25" t="n">
        <f aca="false">G37+E38*IF(D38&gt;0,(IF(A38&gt;Penalty!$B$19,Penalty!$I$5,0)+G37)/D38,0)</f>
        <v>9.07884778447238</v>
      </c>
    </row>
    <row r="39" customFormat="false" ht="15" hidden="false" customHeight="false" outlineLevel="0" collapsed="false">
      <c r="A39" s="23" t="n">
        <f aca="false">Penalty!$B$5+35</f>
        <v>46162</v>
      </c>
      <c r="B39" s="24" t="n">
        <f aca="false">IF(YEAR(A39)&gt;2026,Penalty!$B$16/100,IFERROR(INDEX(Rates!$B$4:$E$15,MATCH(YEAR(A39),Rates!$A$4:$A$15,0),ROUNDUP(MONTH(A39)/3,0))/100,0.03))</f>
        <v>0.06</v>
      </c>
      <c r="C39" s="25" t="n">
        <f aca="false">MAX(0,Penalty!$B$4-SUMIFS(Penalty!$C$10:$C$12,Penalty!$B$10:$B$12,"&lt;"&amp;A39))</f>
        <v>12000</v>
      </c>
      <c r="D39" s="25" t="n">
        <f aca="false">IF(A39&lt;=Penalty!$B$8,C39+F38+IF(A39&gt;Penalty!$B$19,Penalty!$I$5,0)+G38,0)</f>
        <v>13696.3295721139</v>
      </c>
      <c r="E39" s="26" t="n">
        <f aca="false">D39*B39/365</f>
        <v>2.25145143651187</v>
      </c>
      <c r="F39" s="25" t="n">
        <f aca="false">F38+E39*(1-IF(D39&gt;0,(IF(A39&gt;Penalty!$B$19,Penalty!$I$5,0)+G38)/D39,0))</f>
        <v>69.2343819827395</v>
      </c>
      <c r="G39" s="25" t="n">
        <f aca="false">G38+E39*IF(D39&gt;0,(IF(A39&gt;Penalty!$B$19,Penalty!$I$5,0)+G38)/D39,0)</f>
        <v>9.34664156766983</v>
      </c>
    </row>
    <row r="40" customFormat="false" ht="15" hidden="false" customHeight="false" outlineLevel="0" collapsed="false">
      <c r="A40" s="23" t="n">
        <f aca="false">Penalty!$B$5+36</f>
        <v>46163</v>
      </c>
      <c r="B40" s="24" t="n">
        <f aca="false">IF(YEAR(A40)&gt;2026,Penalty!$B$16/100,IFERROR(INDEX(Rates!$B$4:$E$15,MATCH(YEAR(A40),Rates!$A$4:$A$15,0),ROUNDUP(MONTH(A40)/3,0))/100,0.03))</f>
        <v>0.06</v>
      </c>
      <c r="C40" s="25" t="n">
        <f aca="false">MAX(0,Penalty!$B$4-SUMIFS(Penalty!$C$10:$C$12,Penalty!$B$10:$B$12,"&lt;"&amp;A40))</f>
        <v>12000</v>
      </c>
      <c r="D40" s="25" t="n">
        <f aca="false">IF(A40&lt;=Penalty!$B$8,C40+F39+IF(A40&gt;Penalty!$B$19,Penalty!$I$5,0)+G39,0)</f>
        <v>13698.5810235504</v>
      </c>
      <c r="E40" s="26" t="n">
        <f aca="false">D40*B40/365</f>
        <v>2.25182153811788</v>
      </c>
      <c r="F40" s="25" t="n">
        <f aca="false">F39+E40*(1-IF(D40&gt;0,(IF(A40&gt;Penalty!$B$19,Penalty!$I$5,0)+G39)/D40,0))</f>
        <v>71.218365716764</v>
      </c>
      <c r="G40" s="25" t="n">
        <f aca="false">G39+E40*IF(D40&gt;0,(IF(A40&gt;Penalty!$B$19,Penalty!$I$5,0)+G39)/D40,0)</f>
        <v>9.61447937176314</v>
      </c>
    </row>
    <row r="41" customFormat="false" ht="15" hidden="false" customHeight="false" outlineLevel="0" collapsed="false">
      <c r="A41" s="23" t="n">
        <f aca="false">Penalty!$B$5+37</f>
        <v>46164</v>
      </c>
      <c r="B41" s="24" t="n">
        <f aca="false">IF(YEAR(A41)&gt;2026,Penalty!$B$16/100,IFERROR(INDEX(Rates!$B$4:$E$15,MATCH(YEAR(A41),Rates!$A$4:$A$15,0),ROUNDUP(MONTH(A41)/3,0))/100,0.03))</f>
        <v>0.06</v>
      </c>
      <c r="C41" s="25" t="n">
        <f aca="false">MAX(0,Penalty!$B$4-SUMIFS(Penalty!$C$10:$C$12,Penalty!$B$10:$B$12,"&lt;"&amp;A41))</f>
        <v>12000</v>
      </c>
      <c r="D41" s="25" t="n">
        <f aca="false">IF(A41&lt;=Penalty!$B$8,C41+F40+IF(A41&gt;Penalty!$B$19,Penalty!$I$5,0)+G40,0)</f>
        <v>13700.8328450885</v>
      </c>
      <c r="E41" s="26" t="n">
        <f aca="false">D41*B41/365</f>
        <v>2.2521917005625</v>
      </c>
      <c r="F41" s="25" t="n">
        <f aca="false">F40+E41*(1-IF(D41&gt;0,(IF(A41&gt;Penalty!$B$19,Penalty!$I$5,0)+G40)/D41,0))</f>
        <v>73.2026755851011</v>
      </c>
      <c r="G41" s="25" t="n">
        <f aca="false">G40+E41*IF(D41&gt;0,(IF(A41&gt;Penalty!$B$19,Penalty!$I$5,0)+G40)/D41,0)</f>
        <v>9.88236120398864</v>
      </c>
    </row>
    <row r="42" customFormat="false" ht="15" hidden="false" customHeight="false" outlineLevel="0" collapsed="false">
      <c r="A42" s="23" t="n">
        <f aca="false">Penalty!$B$5+38</f>
        <v>46165</v>
      </c>
      <c r="B42" s="24" t="n">
        <f aca="false">IF(YEAR(A42)&gt;2026,Penalty!$B$16/100,IFERROR(INDEX(Rates!$B$4:$E$15,MATCH(YEAR(A42),Rates!$A$4:$A$15,0),ROUNDUP(MONTH(A42)/3,0))/100,0.03))</f>
        <v>0.06</v>
      </c>
      <c r="C42" s="25" t="n">
        <f aca="false">MAX(0,Penalty!$B$4-SUMIFS(Penalty!$C$10:$C$12,Penalty!$B$10:$B$12,"&lt;"&amp;A42))</f>
        <v>12000</v>
      </c>
      <c r="D42" s="25" t="n">
        <f aca="false">IF(A42&lt;=Penalty!$B$8,C42+F41+IF(A42&gt;Penalty!$B$19,Penalty!$I$5,0)+G41,0)</f>
        <v>13703.0850367891</v>
      </c>
      <c r="E42" s="26" t="n">
        <f aca="false">D42*B42/365</f>
        <v>2.25256192385574</v>
      </c>
      <c r="F42" s="25" t="n">
        <f aca="false">F41+E42*(1-IF(D42&gt;0,(IF(A42&gt;Penalty!$B$19,Penalty!$I$5,0)+G41)/D42,0))</f>
        <v>75.1873116413616</v>
      </c>
      <c r="G42" s="25" t="n">
        <f aca="false">G41+E42*IF(D42&gt;0,(IF(A42&gt;Penalty!$B$19,Penalty!$I$5,0)+G41)/D42,0)</f>
        <v>10.1502870715838</v>
      </c>
    </row>
    <row r="43" customFormat="false" ht="15" hidden="false" customHeight="false" outlineLevel="0" collapsed="false">
      <c r="A43" s="23" t="n">
        <f aca="false">Penalty!$B$5+39</f>
        <v>46166</v>
      </c>
      <c r="B43" s="24" t="n">
        <f aca="false">IF(YEAR(A43)&gt;2026,Penalty!$B$16/100,IFERROR(INDEX(Rates!$B$4:$E$15,MATCH(YEAR(A43),Rates!$A$4:$A$15,0),ROUNDUP(MONTH(A43)/3,0))/100,0.03))</f>
        <v>0.06</v>
      </c>
      <c r="C43" s="25" t="n">
        <f aca="false">MAX(0,Penalty!$B$4-SUMIFS(Penalty!$C$10:$C$12,Penalty!$B$10:$B$12,"&lt;"&amp;A43))</f>
        <v>12000</v>
      </c>
      <c r="D43" s="25" t="n">
        <f aca="false">IF(A43&lt;=Penalty!$B$8,C43+F42+IF(A43&gt;Penalty!$B$19,Penalty!$I$5,0)+G42,0)</f>
        <v>13705.3375987129</v>
      </c>
      <c r="E43" s="26" t="n">
        <f aca="false">D43*B43/365</f>
        <v>2.25293220800761</v>
      </c>
      <c r="F43" s="25" t="n">
        <f aca="false">F42+E43*(1-IF(D43&gt;0,(IF(A43&gt;Penalty!$B$19,Penalty!$I$5,0)+G42)/D43,0))</f>
        <v>77.1722739391657</v>
      </c>
      <c r="G43" s="25" t="n">
        <f aca="false">G42+E43*IF(D43&gt;0,(IF(A43&gt;Penalty!$B$19,Penalty!$I$5,0)+G42)/D43,0)</f>
        <v>10.4182569817874</v>
      </c>
    </row>
    <row r="44" customFormat="false" ht="15" hidden="false" customHeight="false" outlineLevel="0" collapsed="false">
      <c r="A44" s="23" t="n">
        <f aca="false">Penalty!$B$5+40</f>
        <v>46167</v>
      </c>
      <c r="B44" s="24" t="n">
        <f aca="false">IF(YEAR(A44)&gt;2026,Penalty!$B$16/100,IFERROR(INDEX(Rates!$B$4:$E$15,MATCH(YEAR(A44),Rates!$A$4:$A$15,0),ROUNDUP(MONTH(A44)/3,0))/100,0.03))</f>
        <v>0.06</v>
      </c>
      <c r="C44" s="25" t="n">
        <f aca="false">MAX(0,Penalty!$B$4-SUMIFS(Penalty!$C$10:$C$12,Penalty!$B$10:$B$12,"&lt;"&amp;A44))</f>
        <v>12000</v>
      </c>
      <c r="D44" s="25" t="n">
        <f aca="false">IF(A44&lt;=Penalty!$B$8,C44+F43+IF(A44&gt;Penalty!$B$19,Penalty!$I$5,0)+G43,0)</f>
        <v>13707.590530921</v>
      </c>
      <c r="E44" s="26" t="n">
        <f aca="false">D44*B44/365</f>
        <v>2.2533025530281</v>
      </c>
      <c r="F44" s="25" t="n">
        <f aca="false">F43+E44*(1-IF(D44&gt;0,(IF(A44&gt;Penalty!$B$19,Penalty!$I$5,0)+G43)/D44,0))</f>
        <v>79.157562532142</v>
      </c>
      <c r="G44" s="25" t="n">
        <f aca="false">G43+E44*IF(D44&gt;0,(IF(A44&gt;Penalty!$B$19,Penalty!$I$5,0)+G43)/D44,0)</f>
        <v>10.6862709418392</v>
      </c>
    </row>
    <row r="45" customFormat="false" ht="15" hidden="false" customHeight="false" outlineLevel="0" collapsed="false">
      <c r="A45" s="23" t="n">
        <f aca="false">Penalty!$B$5+41</f>
        <v>46168</v>
      </c>
      <c r="B45" s="24" t="n">
        <f aca="false">IF(YEAR(A45)&gt;2026,Penalty!$B$16/100,IFERROR(INDEX(Rates!$B$4:$E$15,MATCH(YEAR(A45),Rates!$A$4:$A$15,0),ROUNDUP(MONTH(A45)/3,0))/100,0.03))</f>
        <v>0.06</v>
      </c>
      <c r="C45" s="25" t="n">
        <f aca="false">MAX(0,Penalty!$B$4-SUMIFS(Penalty!$C$10:$C$12,Penalty!$B$10:$B$12,"&lt;"&amp;A45))</f>
        <v>12000</v>
      </c>
      <c r="D45" s="25" t="n">
        <f aca="false">IF(A45&lt;=Penalty!$B$8,C45+F44+IF(A45&gt;Penalty!$B$19,Penalty!$I$5,0)+G44,0)</f>
        <v>13709.843833474</v>
      </c>
      <c r="E45" s="26" t="n">
        <f aca="false">D45*B45/365</f>
        <v>2.25367295892723</v>
      </c>
      <c r="F45" s="25" t="n">
        <f aca="false">F44+E45*(1-IF(D45&gt;0,(IF(A45&gt;Penalty!$B$19,Penalty!$I$5,0)+G44)/D45,0))</f>
        <v>81.1431774739281</v>
      </c>
      <c r="G45" s="25" t="n">
        <f aca="false">G44+E45*IF(D45&gt;0,(IF(A45&gt;Penalty!$B$19,Penalty!$I$5,0)+G44)/D45,0)</f>
        <v>10.9543289589803</v>
      </c>
    </row>
    <row r="46" customFormat="false" ht="15" hidden="false" customHeight="false" outlineLevel="0" collapsed="false">
      <c r="A46" s="23" t="n">
        <f aca="false">Penalty!$B$5+42</f>
        <v>46169</v>
      </c>
      <c r="B46" s="24" t="n">
        <f aca="false">IF(YEAR(A46)&gt;2026,Penalty!$B$16/100,IFERROR(INDEX(Rates!$B$4:$E$15,MATCH(YEAR(A46),Rates!$A$4:$A$15,0),ROUNDUP(MONTH(A46)/3,0))/100,0.03))</f>
        <v>0.06</v>
      </c>
      <c r="C46" s="25" t="n">
        <f aca="false">MAX(0,Penalty!$B$4-SUMIFS(Penalty!$C$10:$C$12,Penalty!$B$10:$B$12,"&lt;"&amp;A46))</f>
        <v>12000</v>
      </c>
      <c r="D46" s="25" t="n">
        <f aca="false">IF(A46&lt;=Penalty!$B$8,C46+F45+IF(A46&gt;Penalty!$B$19,Penalty!$I$5,0)+G45,0)</f>
        <v>13712.0975064329</v>
      </c>
      <c r="E46" s="26" t="n">
        <f aca="false">D46*B46/365</f>
        <v>2.254043425715</v>
      </c>
      <c r="F46" s="25" t="n">
        <f aca="false">F45+E46*(1-IF(D46&gt;0,(IF(A46&gt;Penalty!$B$19,Penalty!$I$5,0)+G45)/D46,0))</f>
        <v>83.1291188181704</v>
      </c>
      <c r="G46" s="25" t="n">
        <f aca="false">G45+E46*IF(D46&gt;0,(IF(A46&gt;Penalty!$B$19,Penalty!$I$5,0)+G45)/D46,0)</f>
        <v>11.222431040453</v>
      </c>
    </row>
    <row r="47" customFormat="false" ht="15" hidden="false" customHeight="false" outlineLevel="0" collapsed="false">
      <c r="A47" s="23" t="n">
        <f aca="false">Penalty!$B$5+43</f>
        <v>46170</v>
      </c>
      <c r="B47" s="24" t="n">
        <f aca="false">IF(YEAR(A47)&gt;2026,Penalty!$B$16/100,IFERROR(INDEX(Rates!$B$4:$E$15,MATCH(YEAR(A47),Rates!$A$4:$A$15,0),ROUNDUP(MONTH(A47)/3,0))/100,0.03))</f>
        <v>0.06</v>
      </c>
      <c r="C47" s="25" t="n">
        <f aca="false">MAX(0,Penalty!$B$4-SUMIFS(Penalty!$C$10:$C$12,Penalty!$B$10:$B$12,"&lt;"&amp;A47))</f>
        <v>12000</v>
      </c>
      <c r="D47" s="25" t="n">
        <f aca="false">IF(A47&lt;=Penalty!$B$8,C47+F46+IF(A47&gt;Penalty!$B$19,Penalty!$I$5,0)+G46,0)</f>
        <v>13714.3515498586</v>
      </c>
      <c r="E47" s="26" t="n">
        <f aca="false">D47*B47/365</f>
        <v>2.25441395340142</v>
      </c>
      <c r="F47" s="25" t="n">
        <f aca="false">F46+E47*(1-IF(D47&gt;0,(IF(A47&gt;Penalty!$B$19,Penalty!$I$5,0)+G46)/D47,0))</f>
        <v>85.1153866185241</v>
      </c>
      <c r="G47" s="25" t="n">
        <f aca="false">G46+E47*IF(D47&gt;0,(IF(A47&gt;Penalty!$B$19,Penalty!$I$5,0)+G46)/D47,0)</f>
        <v>11.4905771935007</v>
      </c>
    </row>
    <row r="48" customFormat="false" ht="15" hidden="false" customHeight="false" outlineLevel="0" collapsed="false">
      <c r="A48" s="23" t="n">
        <f aca="false">Penalty!$B$5+44</f>
        <v>46171</v>
      </c>
      <c r="B48" s="24" t="n">
        <f aca="false">IF(YEAR(A48)&gt;2026,Penalty!$B$16/100,IFERROR(INDEX(Rates!$B$4:$E$15,MATCH(YEAR(A48),Rates!$A$4:$A$15,0),ROUNDUP(MONTH(A48)/3,0))/100,0.03))</f>
        <v>0.06</v>
      </c>
      <c r="C48" s="25" t="n">
        <f aca="false">MAX(0,Penalty!$B$4-SUMIFS(Penalty!$C$10:$C$12,Penalty!$B$10:$B$12,"&lt;"&amp;A48))</f>
        <v>12000</v>
      </c>
      <c r="D48" s="25" t="n">
        <f aca="false">IF(A48&lt;=Penalty!$B$8,C48+F47+IF(A48&gt;Penalty!$B$19,Penalty!$I$5,0)+G47,0)</f>
        <v>13716.605963812</v>
      </c>
      <c r="E48" s="26" t="n">
        <f aca="false">D48*B48/365</f>
        <v>2.2547845419965</v>
      </c>
      <c r="F48" s="25" t="n">
        <f aca="false">F47+E48*(1-IF(D48&gt;0,(IF(A48&gt;Penalty!$B$19,Penalty!$I$5,0)+G47)/D48,0))</f>
        <v>87.1019809286531</v>
      </c>
      <c r="G48" s="25" t="n">
        <f aca="false">G47+E48*IF(D48&gt;0,(IF(A48&gt;Penalty!$B$19,Penalty!$I$5,0)+G47)/D48,0)</f>
        <v>11.7587674253682</v>
      </c>
    </row>
    <row r="49" customFormat="false" ht="15" hidden="false" customHeight="false" outlineLevel="0" collapsed="false">
      <c r="A49" s="23" t="n">
        <f aca="false">Penalty!$B$5+45</f>
        <v>46172</v>
      </c>
      <c r="B49" s="24" t="n">
        <f aca="false">IF(YEAR(A49)&gt;2026,Penalty!$B$16/100,IFERROR(INDEX(Rates!$B$4:$E$15,MATCH(YEAR(A49),Rates!$A$4:$A$15,0),ROUNDUP(MONTH(A49)/3,0))/100,0.03))</f>
        <v>0.06</v>
      </c>
      <c r="C49" s="25" t="n">
        <f aca="false">MAX(0,Penalty!$B$4-SUMIFS(Penalty!$C$10:$C$12,Penalty!$B$10:$B$12,"&lt;"&amp;A49))</f>
        <v>12000</v>
      </c>
      <c r="D49" s="25" t="n">
        <f aca="false">IF(A49&lt;=Penalty!$B$8,C49+F48+IF(A49&gt;Penalty!$B$19,Penalty!$I$5,0)+G48,0)</f>
        <v>13718.860748354</v>
      </c>
      <c r="E49" s="26" t="n">
        <f aca="false">D49*B49/365</f>
        <v>2.25515519151025</v>
      </c>
      <c r="F49" s="25" t="n">
        <f aca="false">F48+E49*(1-IF(D49&gt;0,(IF(A49&gt;Penalty!$B$19,Penalty!$I$5,0)+G48)/D49,0))</f>
        <v>89.0889018022305</v>
      </c>
      <c r="G49" s="25" t="n">
        <f aca="false">G48+E49*IF(D49&gt;0,(IF(A49&gt;Penalty!$B$19,Penalty!$I$5,0)+G48)/D49,0)</f>
        <v>12.0270017433011</v>
      </c>
    </row>
    <row r="50" customFormat="false" ht="15" hidden="false" customHeight="false" outlineLevel="0" collapsed="false">
      <c r="A50" s="23" t="n">
        <f aca="false">Penalty!$B$5+46</f>
        <v>46173</v>
      </c>
      <c r="B50" s="24" t="n">
        <f aca="false">IF(YEAR(A50)&gt;2026,Penalty!$B$16/100,IFERROR(INDEX(Rates!$B$4:$E$15,MATCH(YEAR(A50),Rates!$A$4:$A$15,0),ROUNDUP(MONTH(A50)/3,0))/100,0.03))</f>
        <v>0.06</v>
      </c>
      <c r="C50" s="25" t="n">
        <f aca="false">MAX(0,Penalty!$B$4-SUMIFS(Penalty!$C$10:$C$12,Penalty!$B$10:$B$12,"&lt;"&amp;A50))</f>
        <v>12000</v>
      </c>
      <c r="D50" s="25" t="n">
        <f aca="false">IF(A50&lt;=Penalty!$B$8,C50+F49+IF(A50&gt;Penalty!$B$19,Penalty!$I$5,0)+G49,0)</f>
        <v>13721.1159035455</v>
      </c>
      <c r="E50" s="26" t="n">
        <f aca="false">D50*B50/365</f>
        <v>2.25552590195269</v>
      </c>
      <c r="F50" s="25" t="n">
        <f aca="false">F49+E50*(1-IF(D50&gt;0,(IF(A50&gt;Penalty!$B$19,Penalty!$I$5,0)+G49)/D50,0))</f>
        <v>91.0761492929377</v>
      </c>
      <c r="G50" s="25" t="n">
        <f aca="false">G49+E50*IF(D50&gt;0,(IF(A50&gt;Penalty!$B$19,Penalty!$I$5,0)+G49)/D50,0)</f>
        <v>12.2952801545466</v>
      </c>
    </row>
    <row r="51" customFormat="false" ht="15" hidden="false" customHeight="false" outlineLevel="0" collapsed="false">
      <c r="A51" s="23" t="n">
        <f aca="false">Penalty!$B$5+47</f>
        <v>46174</v>
      </c>
      <c r="B51" s="24" t="n">
        <f aca="false">IF(YEAR(A51)&gt;2026,Penalty!$B$16/100,IFERROR(INDEX(Rates!$B$4:$E$15,MATCH(YEAR(A51),Rates!$A$4:$A$15,0),ROUNDUP(MONTH(A51)/3,0))/100,0.03))</f>
        <v>0.06</v>
      </c>
      <c r="C51" s="25" t="n">
        <f aca="false">MAX(0,Penalty!$B$4-SUMIFS(Penalty!$C$10:$C$12,Penalty!$B$10:$B$12,"&lt;"&amp;A51))</f>
        <v>12000</v>
      </c>
      <c r="D51" s="25" t="n">
        <f aca="false">IF(A51&lt;=Penalty!$B$8,C51+F50+IF(A51&gt;Penalty!$B$19,Penalty!$I$5,0)+G50,0)</f>
        <v>13723.3714294475</v>
      </c>
      <c r="E51" s="26" t="n">
        <f aca="false">D51*B51/365</f>
        <v>2.25589667333383</v>
      </c>
      <c r="F51" s="25" t="n">
        <f aca="false">F50+E51*(1-IF(D51&gt;0,(IF(A51&gt;Penalty!$B$19,Penalty!$I$5,0)+G50)/D51,0))</f>
        <v>93.0637234544653</v>
      </c>
      <c r="G51" s="25" t="n">
        <f aca="false">G50+E51*IF(D51&gt;0,(IF(A51&gt;Penalty!$B$19,Penalty!$I$5,0)+G50)/D51,0)</f>
        <v>12.5636026663528</v>
      </c>
    </row>
    <row r="52" customFormat="false" ht="15" hidden="false" customHeight="false" outlineLevel="0" collapsed="false">
      <c r="A52" s="23" t="n">
        <f aca="false">Penalty!$B$5+48</f>
        <v>46175</v>
      </c>
      <c r="B52" s="24" t="n">
        <f aca="false">IF(YEAR(A52)&gt;2026,Penalty!$B$16/100,IFERROR(INDEX(Rates!$B$4:$E$15,MATCH(YEAR(A52),Rates!$A$4:$A$15,0),ROUNDUP(MONTH(A52)/3,0))/100,0.03))</f>
        <v>0.06</v>
      </c>
      <c r="C52" s="25" t="n">
        <f aca="false">MAX(0,Penalty!$B$4-SUMIFS(Penalty!$C$10:$C$12,Penalty!$B$10:$B$12,"&lt;"&amp;A52))</f>
        <v>12000</v>
      </c>
      <c r="D52" s="25" t="n">
        <f aca="false">IF(A52&lt;=Penalty!$B$8,C52+F51+IF(A52&gt;Penalty!$B$19,Penalty!$I$5,0)+G51,0)</f>
        <v>13725.6273261208</v>
      </c>
      <c r="E52" s="26" t="n">
        <f aca="false">D52*B52/365</f>
        <v>2.2562675056637</v>
      </c>
      <c r="F52" s="25" t="n">
        <f aca="false">F51+E52*(1-IF(D52&gt;0,(IF(A52&gt;Penalty!$B$19,Penalty!$I$5,0)+G51)/D52,0))</f>
        <v>95.0516243405126</v>
      </c>
      <c r="G52" s="25" t="n">
        <f aca="false">G51+E52*IF(D52&gt;0,(IF(A52&gt;Penalty!$B$19,Penalty!$I$5,0)+G51)/D52,0)</f>
        <v>12.8319692859692</v>
      </c>
    </row>
    <row r="53" customFormat="false" ht="15" hidden="false" customHeight="false" outlineLevel="0" collapsed="false">
      <c r="A53" s="23" t="n">
        <f aca="false">Penalty!$B$5+49</f>
        <v>46176</v>
      </c>
      <c r="B53" s="24" t="n">
        <f aca="false">IF(YEAR(A53)&gt;2026,Penalty!$B$16/100,IFERROR(INDEX(Rates!$B$4:$E$15,MATCH(YEAR(A53),Rates!$A$4:$A$15,0),ROUNDUP(MONTH(A53)/3,0))/100,0.03))</f>
        <v>0.06</v>
      </c>
      <c r="C53" s="25" t="n">
        <f aca="false">MAX(0,Penalty!$B$4-SUMIFS(Penalty!$C$10:$C$12,Penalty!$B$10:$B$12,"&lt;"&amp;A53))</f>
        <v>12000</v>
      </c>
      <c r="D53" s="25" t="n">
        <f aca="false">IF(A53&lt;=Penalty!$B$8,C53+F52+IF(A53&gt;Penalty!$B$19,Penalty!$I$5,0)+G52,0)</f>
        <v>13727.8835936265</v>
      </c>
      <c r="E53" s="26" t="n">
        <f aca="false">D53*B53/365</f>
        <v>2.2566383989523</v>
      </c>
      <c r="F53" s="25" t="n">
        <f aca="false">F52+E53*(1-IF(D53&gt;0,(IF(A53&gt;Penalty!$B$19,Penalty!$I$5,0)+G52)/D53,0))</f>
        <v>97.0398520047878</v>
      </c>
      <c r="G53" s="25" t="n">
        <f aca="false">G52+E53*IF(D53&gt;0,(IF(A53&gt;Penalty!$B$19,Penalty!$I$5,0)+G52)/D53,0)</f>
        <v>13.1003800206463</v>
      </c>
    </row>
    <row r="54" customFormat="false" ht="15" hidden="false" customHeight="false" outlineLevel="0" collapsed="false">
      <c r="A54" s="23" t="n">
        <f aca="false">Penalty!$B$5+50</f>
        <v>46177</v>
      </c>
      <c r="B54" s="24" t="n">
        <f aca="false">IF(YEAR(A54)&gt;2026,Penalty!$B$16/100,IFERROR(INDEX(Rates!$B$4:$E$15,MATCH(YEAR(A54),Rates!$A$4:$A$15,0),ROUNDUP(MONTH(A54)/3,0))/100,0.03))</f>
        <v>0.06</v>
      </c>
      <c r="C54" s="25" t="n">
        <f aca="false">MAX(0,Penalty!$B$4-SUMIFS(Penalty!$C$10:$C$12,Penalty!$B$10:$B$12,"&lt;"&amp;A54))</f>
        <v>12000</v>
      </c>
      <c r="D54" s="25" t="n">
        <f aca="false">IF(A54&lt;=Penalty!$B$8,C54+F53+IF(A54&gt;Penalty!$B$19,Penalty!$I$5,0)+G53,0)</f>
        <v>13730.1402320254</v>
      </c>
      <c r="E54" s="26" t="n">
        <f aca="false">D54*B54/365</f>
        <v>2.25700935320966</v>
      </c>
      <c r="F54" s="25" t="n">
        <f aca="false">F53+E54*(1-IF(D54&gt;0,(IF(A54&gt;Penalty!$B$19,Penalty!$I$5,0)+G53)/D54,0))</f>
        <v>99.0284065010077</v>
      </c>
      <c r="G54" s="25" t="n">
        <f aca="false">G53+E54*IF(D54&gt;0,(IF(A54&gt;Penalty!$B$19,Penalty!$I$5,0)+G53)/D54,0)</f>
        <v>13.368834877636</v>
      </c>
    </row>
    <row r="55" customFormat="false" ht="15" hidden="false" customHeight="false" outlineLevel="0" collapsed="false">
      <c r="A55" s="23" t="n">
        <f aca="false">Penalty!$B$5+51</f>
        <v>46178</v>
      </c>
      <c r="B55" s="24" t="n">
        <f aca="false">IF(YEAR(A55)&gt;2026,Penalty!$B$16/100,IFERROR(INDEX(Rates!$B$4:$E$15,MATCH(YEAR(A55),Rates!$A$4:$A$15,0),ROUNDUP(MONTH(A55)/3,0))/100,0.03))</f>
        <v>0.06</v>
      </c>
      <c r="C55" s="25" t="n">
        <f aca="false">MAX(0,Penalty!$B$4-SUMIFS(Penalty!$C$10:$C$12,Penalty!$B$10:$B$12,"&lt;"&amp;A55))</f>
        <v>12000</v>
      </c>
      <c r="D55" s="25" t="n">
        <f aca="false">IF(A55&lt;=Penalty!$B$8,C55+F54+IF(A55&gt;Penalty!$B$19,Penalty!$I$5,0)+G54,0)</f>
        <v>13732.3972413786</v>
      </c>
      <c r="E55" s="26" t="n">
        <f aca="false">D55*B55/365</f>
        <v>2.2573803684458</v>
      </c>
      <c r="F55" s="25" t="n">
        <f aca="false">F54+E55*(1-IF(D55&gt;0,(IF(A55&gt;Penalty!$B$19,Penalty!$I$5,0)+G54)/D55,0))</f>
        <v>101.017287882898</v>
      </c>
      <c r="G55" s="25" t="n">
        <f aca="false">G54+E55*IF(D55&gt;0,(IF(A55&gt;Penalty!$B$19,Penalty!$I$5,0)+G54)/D55,0)</f>
        <v>13.6373338641913</v>
      </c>
    </row>
    <row r="56" customFormat="false" ht="15" hidden="false" customHeight="false" outlineLevel="0" collapsed="false">
      <c r="A56" s="23" t="n">
        <f aca="false">Penalty!$B$5+52</f>
        <v>46179</v>
      </c>
      <c r="B56" s="24" t="n">
        <f aca="false">IF(YEAR(A56)&gt;2026,Penalty!$B$16/100,IFERROR(INDEX(Rates!$B$4:$E$15,MATCH(YEAR(A56),Rates!$A$4:$A$15,0),ROUNDUP(MONTH(A56)/3,0))/100,0.03))</f>
        <v>0.06</v>
      </c>
      <c r="C56" s="25" t="n">
        <f aca="false">MAX(0,Penalty!$B$4-SUMIFS(Penalty!$C$10:$C$12,Penalty!$B$10:$B$12,"&lt;"&amp;A56))</f>
        <v>12000</v>
      </c>
      <c r="D56" s="25" t="n">
        <f aca="false">IF(A56&lt;=Penalty!$B$8,C56+F55+IF(A56&gt;Penalty!$B$19,Penalty!$I$5,0)+G55,0)</f>
        <v>13734.6546217471</v>
      </c>
      <c r="E56" s="26" t="n">
        <f aca="false">D56*B56/365</f>
        <v>2.25775144467075</v>
      </c>
      <c r="F56" s="25" t="n">
        <f aca="false">F55+E56*(1-IF(D56&gt;0,(IF(A56&gt;Penalty!$B$19,Penalty!$I$5,0)+G55)/D56,0))</f>
        <v>103.006496204194</v>
      </c>
      <c r="G56" s="25" t="n">
        <f aca="false">G55+E56*IF(D56&gt;0,(IF(A56&gt;Penalty!$B$19,Penalty!$I$5,0)+G55)/D56,0)</f>
        <v>13.9058769875662</v>
      </c>
    </row>
    <row r="57" customFormat="false" ht="15" hidden="false" customHeight="false" outlineLevel="0" collapsed="false">
      <c r="A57" s="23" t="n">
        <f aca="false">Penalty!$B$5+53</f>
        <v>46180</v>
      </c>
      <c r="B57" s="24" t="n">
        <f aca="false">IF(YEAR(A57)&gt;2026,Penalty!$B$16/100,IFERROR(INDEX(Rates!$B$4:$E$15,MATCH(YEAR(A57),Rates!$A$4:$A$15,0),ROUNDUP(MONTH(A57)/3,0))/100,0.03))</f>
        <v>0.06</v>
      </c>
      <c r="C57" s="25" t="n">
        <f aca="false">MAX(0,Penalty!$B$4-SUMIFS(Penalty!$C$10:$C$12,Penalty!$B$10:$B$12,"&lt;"&amp;A57))</f>
        <v>12000</v>
      </c>
      <c r="D57" s="25" t="n">
        <f aca="false">IF(A57&lt;=Penalty!$B$8,C57+F56+IF(A57&gt;Penalty!$B$19,Penalty!$I$5,0)+G56,0)</f>
        <v>13736.9123731918</v>
      </c>
      <c r="E57" s="26" t="n">
        <f aca="false">D57*B57/365</f>
        <v>2.25812258189454</v>
      </c>
      <c r="F57" s="25" t="n">
        <f aca="false">F56+E57*(1-IF(D57&gt;0,(IF(A57&gt;Penalty!$B$19,Penalty!$I$5,0)+G56)/D57,0))</f>
        <v>104.996031518639</v>
      </c>
      <c r="G57" s="25" t="n">
        <f aca="false">G56+E57*IF(D57&gt;0,(IF(A57&gt;Penalty!$B$19,Penalty!$I$5,0)+G56)/D57,0)</f>
        <v>14.1744642550162</v>
      </c>
    </row>
    <row r="58" customFormat="false" ht="15" hidden="false" customHeight="false" outlineLevel="0" collapsed="false">
      <c r="A58" s="23" t="n">
        <f aca="false">Penalty!$B$5+54</f>
        <v>46181</v>
      </c>
      <c r="B58" s="24" t="n">
        <f aca="false">IF(YEAR(A58)&gt;2026,Penalty!$B$16/100,IFERROR(INDEX(Rates!$B$4:$E$15,MATCH(YEAR(A58),Rates!$A$4:$A$15,0),ROUNDUP(MONTH(A58)/3,0))/100,0.03))</f>
        <v>0.06</v>
      </c>
      <c r="C58" s="25" t="n">
        <f aca="false">MAX(0,Penalty!$B$4-SUMIFS(Penalty!$C$10:$C$12,Penalty!$B$10:$B$12,"&lt;"&amp;A58))</f>
        <v>12000</v>
      </c>
      <c r="D58" s="25" t="n">
        <f aca="false">IF(A58&lt;=Penalty!$B$8,C58+F57+IF(A58&gt;Penalty!$B$19,Penalty!$I$5,0)+G57,0)</f>
        <v>13739.1704957737</v>
      </c>
      <c r="E58" s="26" t="n">
        <f aca="false">D58*B58/365</f>
        <v>2.25849378012718</v>
      </c>
      <c r="F58" s="25" t="n">
        <f aca="false">F57+E58*(1-IF(D58&gt;0,(IF(A58&gt;Penalty!$B$19,Penalty!$I$5,0)+G57)/D58,0))</f>
        <v>106.985893879984</v>
      </c>
      <c r="G58" s="25" t="n">
        <f aca="false">G57+E58*IF(D58&gt;0,(IF(A58&gt;Penalty!$B$19,Penalty!$I$5,0)+G57)/D58,0)</f>
        <v>14.4430956737979</v>
      </c>
    </row>
    <row r="59" customFormat="false" ht="15" hidden="false" customHeight="false" outlineLevel="0" collapsed="false">
      <c r="A59" s="23" t="n">
        <f aca="false">Penalty!$B$5+55</f>
        <v>46182</v>
      </c>
      <c r="B59" s="24" t="n">
        <f aca="false">IF(YEAR(A59)&gt;2026,Penalty!$B$16/100,IFERROR(INDEX(Rates!$B$4:$E$15,MATCH(YEAR(A59),Rates!$A$4:$A$15,0),ROUNDUP(MONTH(A59)/3,0))/100,0.03))</f>
        <v>0.06</v>
      </c>
      <c r="C59" s="25" t="n">
        <f aca="false">MAX(0,Penalty!$B$4-SUMIFS(Penalty!$C$10:$C$12,Penalty!$B$10:$B$12,"&lt;"&amp;A59))</f>
        <v>12000</v>
      </c>
      <c r="D59" s="25" t="n">
        <f aca="false">IF(A59&lt;=Penalty!$B$8,C59+F58+IF(A59&gt;Penalty!$B$19,Penalty!$I$5,0)+G58,0)</f>
        <v>13741.4289895538</v>
      </c>
      <c r="E59" s="26" t="n">
        <f aca="false">D59*B59/365</f>
        <v>2.2588650393787</v>
      </c>
      <c r="F59" s="25" t="n">
        <f aca="false">F58+E59*(1-IF(D59&gt;0,(IF(A59&gt;Penalty!$B$19,Penalty!$I$5,0)+G58)/D59,0))</f>
        <v>108.976083341992</v>
      </c>
      <c r="G59" s="25" t="n">
        <f aca="false">G58+E59*IF(D59&gt;0,(IF(A59&gt;Penalty!$B$19,Penalty!$I$5,0)+G58)/D59,0)</f>
        <v>14.7117712511689</v>
      </c>
    </row>
    <row r="60" customFormat="false" ht="15" hidden="false" customHeight="false" outlineLevel="0" collapsed="false">
      <c r="A60" s="23" t="n">
        <f aca="false">Penalty!$B$5+56</f>
        <v>46183</v>
      </c>
      <c r="B60" s="24" t="n">
        <f aca="false">IF(YEAR(A60)&gt;2026,Penalty!$B$16/100,IFERROR(INDEX(Rates!$B$4:$E$15,MATCH(YEAR(A60),Rates!$A$4:$A$15,0),ROUNDUP(MONTH(A60)/3,0))/100,0.03))</f>
        <v>0.06</v>
      </c>
      <c r="C60" s="25" t="n">
        <f aca="false">MAX(0,Penalty!$B$4-SUMIFS(Penalty!$C$10:$C$12,Penalty!$B$10:$B$12,"&lt;"&amp;A60))</f>
        <v>12000</v>
      </c>
      <c r="D60" s="25" t="n">
        <f aca="false">IF(A60&lt;=Penalty!$B$8,C60+F59+IF(A60&gt;Penalty!$B$19,Penalty!$I$5,0)+G59,0)</f>
        <v>13743.6878545932</v>
      </c>
      <c r="E60" s="26" t="n">
        <f aca="false">D60*B60/365</f>
        <v>2.25923635965915</v>
      </c>
      <c r="F60" s="25" t="n">
        <f aca="false">F59+E60*(1-IF(D60&gt;0,(IF(A60&gt;Penalty!$B$19,Penalty!$I$5,0)+G59)/D60,0))</f>
        <v>110.966599958432</v>
      </c>
      <c r="G60" s="25" t="n">
        <f aca="false">G59+E60*IF(D60&gt;0,(IF(A60&gt;Penalty!$B$19,Penalty!$I$5,0)+G59)/D60,0)</f>
        <v>14.9804909943883</v>
      </c>
    </row>
    <row r="61" customFormat="false" ht="15" hidden="false" customHeight="false" outlineLevel="0" collapsed="false">
      <c r="A61" s="23" t="n">
        <f aca="false">Penalty!$B$5+57</f>
        <v>46184</v>
      </c>
      <c r="B61" s="24" t="n">
        <f aca="false">IF(YEAR(A61)&gt;2026,Penalty!$B$16/100,IFERROR(INDEX(Rates!$B$4:$E$15,MATCH(YEAR(A61),Rates!$A$4:$A$15,0),ROUNDUP(MONTH(A61)/3,0))/100,0.03))</f>
        <v>0.06</v>
      </c>
      <c r="C61" s="25" t="n">
        <f aca="false">MAX(0,Penalty!$B$4-SUMIFS(Penalty!$C$10:$C$12,Penalty!$B$10:$B$12,"&lt;"&amp;A61))</f>
        <v>12000</v>
      </c>
      <c r="D61" s="25" t="n">
        <f aca="false">IF(A61&lt;=Penalty!$B$8,C61+F60+IF(A61&gt;Penalty!$B$19,Penalty!$I$5,0)+G60,0)</f>
        <v>13745.9470909528</v>
      </c>
      <c r="E61" s="26" t="n">
        <f aca="false">D61*B61/365</f>
        <v>2.25960774097855</v>
      </c>
      <c r="F61" s="25" t="n">
        <f aca="false">F60+E61*(1-IF(D61&gt;0,(IF(A61&gt;Penalty!$B$19,Penalty!$I$5,0)+G60)/D61,0))</f>
        <v>112.957443783082</v>
      </c>
      <c r="G61" s="25" t="n">
        <f aca="false">G60+E61*IF(D61&gt;0,(IF(A61&gt;Penalty!$B$19,Penalty!$I$5,0)+G60)/D61,0)</f>
        <v>15.2492549107161</v>
      </c>
    </row>
    <row r="62" customFormat="false" ht="15" hidden="false" customHeight="false" outlineLevel="0" collapsed="false">
      <c r="A62" s="23" t="n">
        <f aca="false">Penalty!$B$5+58</f>
        <v>46185</v>
      </c>
      <c r="B62" s="24" t="n">
        <f aca="false">IF(YEAR(A62)&gt;2026,Penalty!$B$16/100,IFERROR(INDEX(Rates!$B$4:$E$15,MATCH(YEAR(A62),Rates!$A$4:$A$15,0),ROUNDUP(MONTH(A62)/3,0))/100,0.03))</f>
        <v>0.06</v>
      </c>
      <c r="C62" s="25" t="n">
        <f aca="false">MAX(0,Penalty!$B$4-SUMIFS(Penalty!$C$10:$C$12,Penalty!$B$10:$B$12,"&lt;"&amp;A62))</f>
        <v>12000</v>
      </c>
      <c r="D62" s="25" t="n">
        <f aca="false">IF(A62&lt;=Penalty!$B$8,C62+F61+IF(A62&gt;Penalty!$B$19,Penalty!$I$5,0)+G61,0)</f>
        <v>13748.2066986938</v>
      </c>
      <c r="E62" s="26" t="n">
        <f aca="false">D62*B62/365</f>
        <v>2.25997918334693</v>
      </c>
      <c r="F62" s="25" t="n">
        <f aca="false">F61+E62*(1-IF(D62&gt;0,(IF(A62&gt;Penalty!$B$19,Penalty!$I$5,0)+G61)/D62,0))</f>
        <v>114.948614869732</v>
      </c>
      <c r="G62" s="25" t="n">
        <f aca="false">G61+E62*IF(D62&gt;0,(IF(A62&gt;Penalty!$B$19,Penalty!$I$5,0)+G61)/D62,0)</f>
        <v>15.5180630074138</v>
      </c>
    </row>
    <row r="63" customFormat="false" ht="15" hidden="false" customHeight="false" outlineLevel="0" collapsed="false">
      <c r="A63" s="23" t="n">
        <f aca="false">Penalty!$B$5+59</f>
        <v>46186</v>
      </c>
      <c r="B63" s="24" t="n">
        <f aca="false">IF(YEAR(A63)&gt;2026,Penalty!$B$16/100,IFERROR(INDEX(Rates!$B$4:$E$15,MATCH(YEAR(A63),Rates!$A$4:$A$15,0),ROUNDUP(MONTH(A63)/3,0))/100,0.03))</f>
        <v>0.06</v>
      </c>
      <c r="C63" s="25" t="n">
        <f aca="false">MAX(0,Penalty!$B$4-SUMIFS(Penalty!$C$10:$C$12,Penalty!$B$10:$B$12,"&lt;"&amp;A63))</f>
        <v>12000</v>
      </c>
      <c r="D63" s="25" t="n">
        <f aca="false">IF(A63&lt;=Penalty!$B$8,C63+F62+IF(A63&gt;Penalty!$B$19,Penalty!$I$5,0)+G62,0)</f>
        <v>13750.4666778771</v>
      </c>
      <c r="E63" s="26" t="n">
        <f aca="false">D63*B63/365</f>
        <v>2.26035068677433</v>
      </c>
      <c r="F63" s="25" t="n">
        <f aca="false">F62+E63*(1-IF(D63&gt;0,(IF(A63&gt;Penalty!$B$19,Penalty!$I$5,0)+G62)/D63,0))</f>
        <v>116.940113272176</v>
      </c>
      <c r="G63" s="25" t="n">
        <f aca="false">G62+E63*IF(D63&gt;0,(IF(A63&gt;Penalty!$B$19,Penalty!$I$5,0)+G62)/D63,0)</f>
        <v>15.7869152917437</v>
      </c>
    </row>
    <row r="64" customFormat="false" ht="15" hidden="false" customHeight="false" outlineLevel="0" collapsed="false">
      <c r="A64" s="23" t="n">
        <f aca="false">Penalty!$B$5+60</f>
        <v>46187</v>
      </c>
      <c r="B64" s="24" t="n">
        <f aca="false">IF(YEAR(A64)&gt;2026,Penalty!$B$16/100,IFERROR(INDEX(Rates!$B$4:$E$15,MATCH(YEAR(A64),Rates!$A$4:$A$15,0),ROUNDUP(MONTH(A64)/3,0))/100,0.03))</f>
        <v>0.06</v>
      </c>
      <c r="C64" s="25" t="n">
        <f aca="false">MAX(0,Penalty!$B$4-SUMIFS(Penalty!$C$10:$C$12,Penalty!$B$10:$B$12,"&lt;"&amp;A64))</f>
        <v>12000</v>
      </c>
      <c r="D64" s="25" t="n">
        <f aca="false">IF(A64&lt;=Penalty!$B$8,C64+F63+IF(A64&gt;Penalty!$B$19,Penalty!$I$5,0)+G63,0)</f>
        <v>13752.7270285639</v>
      </c>
      <c r="E64" s="26" t="n">
        <f aca="false">D64*B64/365</f>
        <v>2.26072225127078</v>
      </c>
      <c r="F64" s="25" t="n">
        <f aca="false">F63+E64*(1-IF(D64&gt;0,(IF(A64&gt;Penalty!$B$19,Penalty!$I$5,0)+G63)/D64,0))</f>
        <v>118.931939044221</v>
      </c>
      <c r="G64" s="25" t="n">
        <f aca="false">G63+E64*IF(D64&gt;0,(IF(A64&gt;Penalty!$B$19,Penalty!$I$5,0)+G63)/D64,0)</f>
        <v>16.0558117709698</v>
      </c>
    </row>
    <row r="65" customFormat="false" ht="15" hidden="false" customHeight="false" outlineLevel="0" collapsed="false">
      <c r="A65" s="23" t="n">
        <f aca="false">Penalty!$B$5+61</f>
        <v>46188</v>
      </c>
      <c r="B65" s="24" t="n">
        <f aca="false">IF(YEAR(A65)&gt;2026,Penalty!$B$16/100,IFERROR(INDEX(Rates!$B$4:$E$15,MATCH(YEAR(A65),Rates!$A$4:$A$15,0),ROUNDUP(MONTH(A65)/3,0))/100,0.03))</f>
        <v>0.06</v>
      </c>
      <c r="C65" s="25" t="n">
        <f aca="false">MAX(0,Penalty!$B$4-SUMIFS(Penalty!$C$10:$C$12,Penalty!$B$10:$B$12,"&lt;"&amp;A65))</f>
        <v>12000</v>
      </c>
      <c r="D65" s="25" t="n">
        <f aca="false">IF(A65&lt;=Penalty!$B$8,C65+F64+IF(A65&gt;Penalty!$B$19,Penalty!$I$5,0)+G64,0)</f>
        <v>13754.9877508152</v>
      </c>
      <c r="E65" s="26" t="n">
        <f aca="false">D65*B65/365</f>
        <v>2.26109387684633</v>
      </c>
      <c r="F65" s="25" t="n">
        <f aca="false">F64+E65*(1-IF(D65&gt;0,(IF(A65&gt;Penalty!$B$19,Penalty!$I$5,0)+G64)/D65,0))</f>
        <v>120.92409223968</v>
      </c>
      <c r="G65" s="25" t="n">
        <f aca="false">G64+E65*IF(D65&gt;0,(IF(A65&gt;Penalty!$B$19,Penalty!$I$5,0)+G64)/D65,0)</f>
        <v>16.3247524523568</v>
      </c>
    </row>
    <row r="66" customFormat="false" ht="15" hidden="false" customHeight="false" outlineLevel="0" collapsed="false">
      <c r="A66" s="23" t="n">
        <f aca="false">Penalty!$B$5+62</f>
        <v>46189</v>
      </c>
      <c r="B66" s="24" t="n">
        <f aca="false">IF(YEAR(A66)&gt;2026,Penalty!$B$16/100,IFERROR(INDEX(Rates!$B$4:$E$15,MATCH(YEAR(A66),Rates!$A$4:$A$15,0),ROUNDUP(MONTH(A66)/3,0))/100,0.03))</f>
        <v>0.06</v>
      </c>
      <c r="C66" s="25" t="n">
        <f aca="false">MAX(0,Penalty!$B$4-SUMIFS(Penalty!$C$10:$C$12,Penalty!$B$10:$B$12,"&lt;"&amp;A66))</f>
        <v>12000</v>
      </c>
      <c r="D66" s="25" t="n">
        <f aca="false">IF(A66&lt;=Penalty!$B$8,C66+F65+IF(A66&gt;Penalty!$B$19,Penalty!$I$5,0)+G65,0)</f>
        <v>13757.248844692</v>
      </c>
      <c r="E66" s="26" t="n">
        <f aca="false">D66*B66/365</f>
        <v>2.26146556351102</v>
      </c>
      <c r="F66" s="25" t="n">
        <f aca="false">F65+E66*(1-IF(D66&gt;0,(IF(A66&gt;Penalty!$B$19,Penalty!$I$5,0)+G65)/D66,0))</f>
        <v>122.916572912377</v>
      </c>
      <c r="G66" s="25" t="n">
        <f aca="false">G65+E66*IF(D66&gt;0,(IF(A66&gt;Penalty!$B$19,Penalty!$I$5,0)+G65)/D66,0)</f>
        <v>16.5937373431709</v>
      </c>
    </row>
    <row r="67" customFormat="false" ht="15" hidden="false" customHeight="false" outlineLevel="0" collapsed="false">
      <c r="A67" s="23" t="n">
        <f aca="false">Penalty!$B$5+63</f>
        <v>46190</v>
      </c>
      <c r="B67" s="24" t="n">
        <f aca="false">IF(YEAR(A67)&gt;2026,Penalty!$B$16/100,IFERROR(INDEX(Rates!$B$4:$E$15,MATCH(YEAR(A67),Rates!$A$4:$A$15,0),ROUNDUP(MONTH(A67)/3,0))/100,0.03))</f>
        <v>0.06</v>
      </c>
      <c r="C67" s="25" t="n">
        <f aca="false">MAX(0,Penalty!$B$4-SUMIFS(Penalty!$C$10:$C$12,Penalty!$B$10:$B$12,"&lt;"&amp;A67))</f>
        <v>12000</v>
      </c>
      <c r="D67" s="25" t="n">
        <f aca="false">IF(A67&lt;=Penalty!$B$8,C67+F66+IF(A67&gt;Penalty!$B$19,Penalty!$I$5,0)+G66,0)</f>
        <v>13759.5103102555</v>
      </c>
      <c r="E67" s="26" t="n">
        <f aca="false">D67*B67/365</f>
        <v>2.26183731127488</v>
      </c>
      <c r="F67" s="25" t="n">
        <f aca="false">F66+E67*(1-IF(D67&gt;0,(IF(A67&gt;Penalty!$B$19,Penalty!$I$5,0)+G66)/D67,0))</f>
        <v>124.909381116143</v>
      </c>
      <c r="G67" s="25" t="n">
        <f aca="false">G66+E67*IF(D67&gt;0,(IF(A67&gt;Penalty!$B$19,Penalty!$I$5,0)+G66)/D67,0)</f>
        <v>16.8627664506793</v>
      </c>
    </row>
    <row r="68" customFormat="false" ht="15" hidden="false" customHeight="false" outlineLevel="0" collapsed="false">
      <c r="A68" s="23" t="n">
        <f aca="false">Penalty!$B$5+64</f>
        <v>46191</v>
      </c>
      <c r="B68" s="24" t="n">
        <f aca="false">IF(YEAR(A68)&gt;2026,Penalty!$B$16/100,IFERROR(INDEX(Rates!$B$4:$E$15,MATCH(YEAR(A68),Rates!$A$4:$A$15,0),ROUNDUP(MONTH(A68)/3,0))/100,0.03))</f>
        <v>0.06</v>
      </c>
      <c r="C68" s="25" t="n">
        <f aca="false">MAX(0,Penalty!$B$4-SUMIFS(Penalty!$C$10:$C$12,Penalty!$B$10:$B$12,"&lt;"&amp;A68))</f>
        <v>12000</v>
      </c>
      <c r="D68" s="25" t="n">
        <f aca="false">IF(A68&lt;=Penalty!$B$8,C68+F67+IF(A68&gt;Penalty!$B$19,Penalty!$I$5,0)+G67,0)</f>
        <v>13761.7721475668</v>
      </c>
      <c r="E68" s="26" t="n">
        <f aca="false">D68*B68/365</f>
        <v>2.26220912014797</v>
      </c>
      <c r="F68" s="25" t="n">
        <f aca="false">F67+E68*(1-IF(D68&gt;0,(IF(A68&gt;Penalty!$B$19,Penalty!$I$5,0)+G67)/D68,0))</f>
        <v>126.90251690482</v>
      </c>
      <c r="G68" s="25" t="n">
        <f aca="false">G67+E68*IF(D68&gt;0,(IF(A68&gt;Penalty!$B$19,Penalty!$I$5,0)+G67)/D68,0)</f>
        <v>17.1318397821507</v>
      </c>
    </row>
    <row r="69" customFormat="false" ht="15" hidden="false" customHeight="false" outlineLevel="0" collapsed="false">
      <c r="A69" s="23" t="n">
        <f aca="false">Penalty!$B$5+65</f>
        <v>46192</v>
      </c>
      <c r="B69" s="24" t="n">
        <f aca="false">IF(YEAR(A69)&gt;2026,Penalty!$B$16/100,IFERROR(INDEX(Rates!$B$4:$E$15,MATCH(YEAR(A69),Rates!$A$4:$A$15,0),ROUNDUP(MONTH(A69)/3,0))/100,0.03))</f>
        <v>0.06</v>
      </c>
      <c r="C69" s="25" t="n">
        <f aca="false">MAX(0,Penalty!$B$4-SUMIFS(Penalty!$C$10:$C$12,Penalty!$B$10:$B$12,"&lt;"&amp;A69))</f>
        <v>12000</v>
      </c>
      <c r="D69" s="25" t="n">
        <f aca="false">IF(A69&lt;=Penalty!$B$8,C69+F68+IF(A69&gt;Penalty!$B$19,Penalty!$I$5,0)+G68,0)</f>
        <v>13764.034356687</v>
      </c>
      <c r="E69" s="26" t="n">
        <f aca="false">D69*B69/365</f>
        <v>2.26258099014032</v>
      </c>
      <c r="F69" s="25" t="n">
        <f aca="false">F68+E69*(1-IF(D69&gt;0,(IF(A69&gt;Penalty!$B$19,Penalty!$I$5,0)+G68)/D69,0))</f>
        <v>128.895980332256</v>
      </c>
      <c r="G69" s="25" t="n">
        <f aca="false">G68+E69*IF(D69&gt;0,(IF(A69&gt;Penalty!$B$19,Penalty!$I$5,0)+G68)/D69,0)</f>
        <v>17.4009573448546</v>
      </c>
    </row>
    <row r="70" customFormat="false" ht="15" hidden="false" customHeight="false" outlineLevel="0" collapsed="false">
      <c r="A70" s="23" t="n">
        <f aca="false">Penalty!$B$5+66</f>
        <v>46193</v>
      </c>
      <c r="B70" s="24" t="n">
        <f aca="false">IF(YEAR(A70)&gt;2026,Penalty!$B$16/100,IFERROR(INDEX(Rates!$B$4:$E$15,MATCH(YEAR(A70),Rates!$A$4:$A$15,0),ROUNDUP(MONTH(A70)/3,0))/100,0.03))</f>
        <v>0.06</v>
      </c>
      <c r="C70" s="25" t="n">
        <f aca="false">MAX(0,Penalty!$B$4-SUMIFS(Penalty!$C$10:$C$12,Penalty!$B$10:$B$12,"&lt;"&amp;A70))</f>
        <v>12000</v>
      </c>
      <c r="D70" s="25" t="n">
        <f aca="false">IF(A70&lt;=Penalty!$B$8,C70+F69+IF(A70&gt;Penalty!$B$19,Penalty!$I$5,0)+G69,0)</f>
        <v>13766.2969376771</v>
      </c>
      <c r="E70" s="26" t="n">
        <f aca="false">D70*B70/365</f>
        <v>2.26295292126199</v>
      </c>
      <c r="F70" s="25" t="n">
        <f aca="false">F69+E70*(1-IF(D70&gt;0,(IF(A70&gt;Penalty!$B$19,Penalty!$I$5,0)+G69)/D70,0))</f>
        <v>130.889771452311</v>
      </c>
      <c r="G70" s="25" t="n">
        <f aca="false">G69+E70*IF(D70&gt;0,(IF(A70&gt;Penalty!$B$19,Penalty!$I$5,0)+G69)/D70,0)</f>
        <v>17.670119146062</v>
      </c>
    </row>
    <row r="71" customFormat="false" ht="15" hidden="false" customHeight="false" outlineLevel="0" collapsed="false">
      <c r="A71" s="23" t="n">
        <f aca="false">Penalty!$B$5+67</f>
        <v>46194</v>
      </c>
      <c r="B71" s="24" t="n">
        <f aca="false">IF(YEAR(A71)&gt;2026,Penalty!$B$16/100,IFERROR(INDEX(Rates!$B$4:$E$15,MATCH(YEAR(A71),Rates!$A$4:$A$15,0),ROUNDUP(MONTH(A71)/3,0))/100,0.03))</f>
        <v>0.06</v>
      </c>
      <c r="C71" s="25" t="n">
        <f aca="false">MAX(0,Penalty!$B$4-SUMIFS(Penalty!$C$10:$C$12,Penalty!$B$10:$B$12,"&lt;"&amp;A71))</f>
        <v>12000</v>
      </c>
      <c r="D71" s="25" t="n">
        <f aca="false">IF(A71&lt;=Penalty!$B$8,C71+F70+IF(A71&gt;Penalty!$B$19,Penalty!$I$5,0)+G70,0)</f>
        <v>13768.5598905984</v>
      </c>
      <c r="E71" s="26" t="n">
        <f aca="false">D71*B71/365</f>
        <v>2.26332491352302</v>
      </c>
      <c r="F71" s="25" t="n">
        <f aca="false">F70+E71*(1-IF(D71&gt;0,(IF(A71&gt;Penalty!$B$19,Penalty!$I$5,0)+G70)/D71,0))</f>
        <v>132.883890318851</v>
      </c>
      <c r="G71" s="25" t="n">
        <f aca="false">G70+E71*IF(D71&gt;0,(IF(A71&gt;Penalty!$B$19,Penalty!$I$5,0)+G70)/D71,0)</f>
        <v>17.9393251930449</v>
      </c>
    </row>
    <row r="72" customFormat="false" ht="15" hidden="false" customHeight="false" outlineLevel="0" collapsed="false">
      <c r="A72" s="23" t="n">
        <f aca="false">Penalty!$B$5+68</f>
        <v>46195</v>
      </c>
      <c r="B72" s="24" t="n">
        <f aca="false">IF(YEAR(A72)&gt;2026,Penalty!$B$16/100,IFERROR(INDEX(Rates!$B$4:$E$15,MATCH(YEAR(A72),Rates!$A$4:$A$15,0),ROUNDUP(MONTH(A72)/3,0))/100,0.03))</f>
        <v>0.06</v>
      </c>
      <c r="C72" s="25" t="n">
        <f aca="false">MAX(0,Penalty!$B$4-SUMIFS(Penalty!$C$10:$C$12,Penalty!$B$10:$B$12,"&lt;"&amp;A72))</f>
        <v>12000</v>
      </c>
      <c r="D72" s="25" t="n">
        <f aca="false">IF(A72&lt;=Penalty!$B$8,C72+F71+IF(A72&gt;Penalty!$B$19,Penalty!$I$5,0)+G71,0)</f>
        <v>13770.8232155119</v>
      </c>
      <c r="E72" s="26" t="n">
        <f aca="false">D72*B72/365</f>
        <v>2.26369696693346</v>
      </c>
      <c r="F72" s="25" t="n">
        <f aca="false">F71+E72*(1-IF(D72&gt;0,(IF(A72&gt;Penalty!$B$19,Penalty!$I$5,0)+G71)/D72,0))</f>
        <v>134.878336985753</v>
      </c>
      <c r="G72" s="25" t="n">
        <f aca="false">G71+E72*IF(D72&gt;0,(IF(A72&gt;Penalty!$B$19,Penalty!$I$5,0)+G71)/D72,0)</f>
        <v>18.2085754930766</v>
      </c>
    </row>
    <row r="73" customFormat="false" ht="15" hidden="false" customHeight="false" outlineLevel="0" collapsed="false">
      <c r="A73" s="23" t="n">
        <f aca="false">Penalty!$B$5+69</f>
        <v>46196</v>
      </c>
      <c r="B73" s="24" t="n">
        <f aca="false">IF(YEAR(A73)&gt;2026,Penalty!$B$16/100,IFERROR(INDEX(Rates!$B$4:$E$15,MATCH(YEAR(A73),Rates!$A$4:$A$15,0),ROUNDUP(MONTH(A73)/3,0))/100,0.03))</f>
        <v>0.06</v>
      </c>
      <c r="C73" s="25" t="n">
        <f aca="false">MAX(0,Penalty!$B$4-SUMIFS(Penalty!$C$10:$C$12,Penalty!$B$10:$B$12,"&lt;"&amp;A73))</f>
        <v>12000</v>
      </c>
      <c r="D73" s="25" t="n">
        <f aca="false">IF(A73&lt;=Penalty!$B$8,C73+F72+IF(A73&gt;Penalty!$B$19,Penalty!$I$5,0)+G72,0)</f>
        <v>13773.0869124788</v>
      </c>
      <c r="E73" s="26" t="n">
        <f aca="false">D73*B73/365</f>
        <v>2.26406908150337</v>
      </c>
      <c r="F73" s="25" t="n">
        <f aca="false">F72+E73*(1-IF(D73&gt;0,(IF(A73&gt;Penalty!$B$19,Penalty!$I$5,0)+G72)/D73,0))</f>
        <v>136.873111506901</v>
      </c>
      <c r="G73" s="25" t="n">
        <f aca="false">G72+E73*IF(D73&gt;0,(IF(A73&gt;Penalty!$B$19,Penalty!$I$5,0)+G72)/D73,0)</f>
        <v>18.4778700534316</v>
      </c>
    </row>
    <row r="74" customFormat="false" ht="15" hidden="false" customHeight="false" outlineLevel="0" collapsed="false">
      <c r="A74" s="23" t="n">
        <f aca="false">Penalty!$B$5+70</f>
        <v>46197</v>
      </c>
      <c r="B74" s="24" t="n">
        <f aca="false">IF(YEAR(A74)&gt;2026,Penalty!$B$16/100,IFERROR(INDEX(Rates!$B$4:$E$15,MATCH(YEAR(A74),Rates!$A$4:$A$15,0),ROUNDUP(MONTH(A74)/3,0))/100,0.03))</f>
        <v>0.06</v>
      </c>
      <c r="C74" s="25" t="n">
        <f aca="false">MAX(0,Penalty!$B$4-SUMIFS(Penalty!$C$10:$C$12,Penalty!$B$10:$B$12,"&lt;"&amp;A74))</f>
        <v>12000</v>
      </c>
      <c r="D74" s="25" t="n">
        <f aca="false">IF(A74&lt;=Penalty!$B$8,C74+F73+IF(A74&gt;Penalty!$B$19,Penalty!$I$5,0)+G73,0)</f>
        <v>13775.3509815603</v>
      </c>
      <c r="E74" s="26" t="n">
        <f aca="false">D74*B74/365</f>
        <v>2.26444125724279</v>
      </c>
      <c r="F74" s="25" t="n">
        <f aca="false">F73+E74*(1-IF(D74&gt;0,(IF(A74&gt;Penalty!$B$19,Penalty!$I$5,0)+G73)/D74,0))</f>
        <v>138.86821393619</v>
      </c>
      <c r="G74" s="25" t="n">
        <f aca="false">G73+E74*IF(D74&gt;0,(IF(A74&gt;Penalty!$B$19,Penalty!$I$5,0)+G73)/D74,0)</f>
        <v>18.7472088813856</v>
      </c>
    </row>
    <row r="75" customFormat="false" ht="15" hidden="false" customHeight="false" outlineLevel="0" collapsed="false">
      <c r="A75" s="23" t="n">
        <f aca="false">Penalty!$B$5+71</f>
        <v>46198</v>
      </c>
      <c r="B75" s="24" t="n">
        <f aca="false">IF(YEAR(A75)&gt;2026,Penalty!$B$16/100,IFERROR(INDEX(Rates!$B$4:$E$15,MATCH(YEAR(A75),Rates!$A$4:$A$15,0),ROUNDUP(MONTH(A75)/3,0))/100,0.03))</f>
        <v>0.06</v>
      </c>
      <c r="C75" s="25" t="n">
        <f aca="false">MAX(0,Penalty!$B$4-SUMIFS(Penalty!$C$10:$C$12,Penalty!$B$10:$B$12,"&lt;"&amp;A75))</f>
        <v>12000</v>
      </c>
      <c r="D75" s="25" t="n">
        <f aca="false">IF(A75&lt;=Penalty!$B$8,C75+F74+IF(A75&gt;Penalty!$B$19,Penalty!$I$5,0)+G74,0)</f>
        <v>13777.6154228176</v>
      </c>
      <c r="E75" s="26" t="n">
        <f aca="false">D75*B75/365</f>
        <v>2.26481349416179</v>
      </c>
      <c r="F75" s="25" t="n">
        <f aca="false">F74+E75*(1-IF(D75&gt;0,(IF(A75&gt;Penalty!$B$19,Penalty!$I$5,0)+G74)/D75,0))</f>
        <v>140.863644327522</v>
      </c>
      <c r="G75" s="25" t="n">
        <f aca="false">G74+E75*IF(D75&gt;0,(IF(A75&gt;Penalty!$B$19,Penalty!$I$5,0)+G74)/D75,0)</f>
        <v>19.0165919842155</v>
      </c>
    </row>
    <row r="76" customFormat="false" ht="15" hidden="false" customHeight="false" outlineLevel="0" collapsed="false">
      <c r="A76" s="23" t="n">
        <f aca="false">Penalty!$B$5+72</f>
        <v>46199</v>
      </c>
      <c r="B76" s="24" t="n">
        <f aca="false">IF(YEAR(A76)&gt;2026,Penalty!$B$16/100,IFERROR(INDEX(Rates!$B$4:$E$15,MATCH(YEAR(A76),Rates!$A$4:$A$15,0),ROUNDUP(MONTH(A76)/3,0))/100,0.03))</f>
        <v>0.06</v>
      </c>
      <c r="C76" s="25" t="n">
        <f aca="false">MAX(0,Penalty!$B$4-SUMIFS(Penalty!$C$10:$C$12,Penalty!$B$10:$B$12,"&lt;"&amp;A76))</f>
        <v>12000</v>
      </c>
      <c r="D76" s="25" t="n">
        <f aca="false">IF(A76&lt;=Penalty!$B$8,C76+F75+IF(A76&gt;Penalty!$B$19,Penalty!$I$5,0)+G75,0)</f>
        <v>13779.8802363117</v>
      </c>
      <c r="E76" s="26" t="n">
        <f aca="false">D76*B76/365</f>
        <v>2.26518579227042</v>
      </c>
      <c r="F76" s="25" t="n">
        <f aca="false">F75+E76*(1-IF(D76&gt;0,(IF(A76&gt;Penalty!$B$19,Penalty!$I$5,0)+G75)/D76,0))</f>
        <v>142.859402734809</v>
      </c>
      <c r="G76" s="25" t="n">
        <f aca="false">G75+E76*IF(D76&gt;0,(IF(A76&gt;Penalty!$B$19,Penalty!$I$5,0)+G75)/D76,0)</f>
        <v>19.2860193691992</v>
      </c>
    </row>
    <row r="77" customFormat="false" ht="15" hidden="false" customHeight="false" outlineLevel="0" collapsed="false">
      <c r="A77" s="23" t="n">
        <f aca="false">Penalty!$B$5+73</f>
        <v>46200</v>
      </c>
      <c r="B77" s="24" t="n">
        <f aca="false">IF(YEAR(A77)&gt;2026,Penalty!$B$16/100,IFERROR(INDEX(Rates!$B$4:$E$15,MATCH(YEAR(A77),Rates!$A$4:$A$15,0),ROUNDUP(MONTH(A77)/3,0))/100,0.03))</f>
        <v>0.06</v>
      </c>
      <c r="C77" s="25" t="n">
        <f aca="false">MAX(0,Penalty!$B$4-SUMIFS(Penalty!$C$10:$C$12,Penalty!$B$10:$B$12,"&lt;"&amp;A77))</f>
        <v>12000</v>
      </c>
      <c r="D77" s="25" t="n">
        <f aca="false">IF(A77&lt;=Penalty!$B$8,C77+F76+IF(A77&gt;Penalty!$B$19,Penalty!$I$5,0)+G76,0)</f>
        <v>13782.145422104</v>
      </c>
      <c r="E77" s="26" t="n">
        <f aca="false">D77*B77/365</f>
        <v>2.26555815157874</v>
      </c>
      <c r="F77" s="25" t="n">
        <f aca="false">F76+E77*(1-IF(D77&gt;0,(IF(A77&gt;Penalty!$B$19,Penalty!$I$5,0)+G76)/D77,0))</f>
        <v>144.855489211971</v>
      </c>
      <c r="G77" s="25" t="n">
        <f aca="false">G76+E77*IF(D77&gt;0,(IF(A77&gt;Penalty!$B$19,Penalty!$I$5,0)+G76)/D77,0)</f>
        <v>19.555491043616</v>
      </c>
    </row>
    <row r="78" customFormat="false" ht="15" hidden="false" customHeight="false" outlineLevel="0" collapsed="false">
      <c r="A78" s="23" t="n">
        <f aca="false">Penalty!$B$5+74</f>
        <v>46201</v>
      </c>
      <c r="B78" s="24" t="n">
        <f aca="false">IF(YEAR(A78)&gt;2026,Penalty!$B$16/100,IFERROR(INDEX(Rates!$B$4:$E$15,MATCH(YEAR(A78),Rates!$A$4:$A$15,0),ROUNDUP(MONTH(A78)/3,0))/100,0.03))</f>
        <v>0.06</v>
      </c>
      <c r="C78" s="25" t="n">
        <f aca="false">MAX(0,Penalty!$B$4-SUMIFS(Penalty!$C$10:$C$12,Penalty!$B$10:$B$12,"&lt;"&amp;A78))</f>
        <v>12000</v>
      </c>
      <c r="D78" s="25" t="n">
        <f aca="false">IF(A78&lt;=Penalty!$B$8,C78+F77+IF(A78&gt;Penalty!$B$19,Penalty!$I$5,0)+G77,0)</f>
        <v>13784.4109802556</v>
      </c>
      <c r="E78" s="26" t="n">
        <f aca="false">D78*B78/365</f>
        <v>2.26593057209681</v>
      </c>
      <c r="F78" s="25" t="n">
        <f aca="false">F77+E78*(1-IF(D78&gt;0,(IF(A78&gt;Penalty!$B$19,Penalty!$I$5,0)+G77)/D78,0))</f>
        <v>146.851903812937</v>
      </c>
      <c r="G78" s="25" t="n">
        <f aca="false">G77+E78*IF(D78&gt;0,(IF(A78&gt;Penalty!$B$19,Penalty!$I$5,0)+G77)/D78,0)</f>
        <v>19.8250070147465</v>
      </c>
    </row>
    <row r="79" customFormat="false" ht="15" hidden="false" customHeight="false" outlineLevel="0" collapsed="false">
      <c r="A79" s="23" t="n">
        <f aca="false">Penalty!$B$5+75</f>
        <v>46202</v>
      </c>
      <c r="B79" s="24" t="n">
        <f aca="false">IF(YEAR(A79)&gt;2026,Penalty!$B$16/100,IFERROR(INDEX(Rates!$B$4:$E$15,MATCH(YEAR(A79),Rates!$A$4:$A$15,0),ROUNDUP(MONTH(A79)/3,0))/100,0.03))</f>
        <v>0.06</v>
      </c>
      <c r="C79" s="25" t="n">
        <f aca="false">MAX(0,Penalty!$B$4-SUMIFS(Penalty!$C$10:$C$12,Penalty!$B$10:$B$12,"&lt;"&amp;A79))</f>
        <v>12000</v>
      </c>
      <c r="D79" s="25" t="n">
        <f aca="false">IF(A79&lt;=Penalty!$B$8,C79+F78+IF(A79&gt;Penalty!$B$19,Penalty!$I$5,0)+G78,0)</f>
        <v>13786.6769108277</v>
      </c>
      <c r="E79" s="26" t="n">
        <f aca="false">D79*B79/365</f>
        <v>2.26630305383469</v>
      </c>
      <c r="F79" s="25" t="n">
        <f aca="false">F78+E79*(1-IF(D79&gt;0,(IF(A79&gt;Penalty!$B$19,Penalty!$I$5,0)+G78)/D79,0))</f>
        <v>148.848646591646</v>
      </c>
      <c r="G79" s="25" t="n">
        <f aca="false">G78+E79*IF(D79&gt;0,(IF(A79&gt;Penalty!$B$19,Penalty!$I$5,0)+G78)/D79,0)</f>
        <v>20.0945672898722</v>
      </c>
    </row>
    <row r="80" customFormat="false" ht="15" hidden="false" customHeight="false" outlineLevel="0" collapsed="false">
      <c r="A80" s="23" t="n">
        <f aca="false">Penalty!$B$5+76</f>
        <v>46203</v>
      </c>
      <c r="B80" s="24" t="n">
        <f aca="false">IF(YEAR(A80)&gt;2026,Penalty!$B$16/100,IFERROR(INDEX(Rates!$B$4:$E$15,MATCH(YEAR(A80),Rates!$A$4:$A$15,0),ROUNDUP(MONTH(A80)/3,0))/100,0.03))</f>
        <v>0.06</v>
      </c>
      <c r="C80" s="25" t="n">
        <f aca="false">MAX(0,Penalty!$B$4-SUMIFS(Penalty!$C$10:$C$12,Penalty!$B$10:$B$12,"&lt;"&amp;A80))</f>
        <v>12000</v>
      </c>
      <c r="D80" s="25" t="n">
        <f aca="false">IF(A80&lt;=Penalty!$B$8,C80+F79+IF(A80&gt;Penalty!$B$19,Penalty!$I$5,0)+G79,0)</f>
        <v>13788.9432138815</v>
      </c>
      <c r="E80" s="26" t="n">
        <f aca="false">D80*B80/365</f>
        <v>2.26667559680244</v>
      </c>
      <c r="F80" s="25" t="n">
        <f aca="false">F79+E80*(1-IF(D80&gt;0,(IF(A80&gt;Penalty!$B$19,Penalty!$I$5,0)+G79)/D80,0))</f>
        <v>150.845717602045</v>
      </c>
      <c r="G80" s="25" t="n">
        <f aca="false">G79+E80*IF(D80&gt;0,(IF(A80&gt;Penalty!$B$19,Penalty!$I$5,0)+G79)/D80,0)</f>
        <v>20.364171876276</v>
      </c>
    </row>
    <row r="81" customFormat="false" ht="15" hidden="false" customHeight="false" outlineLevel="0" collapsed="false">
      <c r="A81" s="23" t="n">
        <f aca="false">Penalty!$B$5+77</f>
        <v>46204</v>
      </c>
      <c r="B81" s="24" t="n">
        <f aca="false">IF(YEAR(A81)&gt;2026,Penalty!$B$16/100,IFERROR(INDEX(Rates!$B$4:$E$15,MATCH(YEAR(A81),Rates!$A$4:$A$15,0),ROUNDUP(MONTH(A81)/3,0))/100,0.03))</f>
        <v>0.07</v>
      </c>
      <c r="C81" s="25" t="n">
        <f aca="false">MAX(0,Penalty!$B$4-SUMIFS(Penalty!$C$10:$C$12,Penalty!$B$10:$B$12,"&lt;"&amp;A81))</f>
        <v>12000</v>
      </c>
      <c r="D81" s="25" t="n">
        <f aca="false">IF(A81&lt;=Penalty!$B$8,C81+F80+IF(A81&gt;Penalty!$B$19,Penalty!$I$5,0)+G80,0)</f>
        <v>13791.2098894783</v>
      </c>
      <c r="E81" s="26" t="n">
        <f aca="false">D81*B81/365</f>
        <v>2.64488956784516</v>
      </c>
      <c r="F81" s="25" t="n">
        <f aca="false">F80+E81*(1-IF(D81&gt;0,(IF(A81&gt;Penalty!$B$19,Penalty!$I$5,0)+G80)/D81,0))</f>
        <v>153.176016780763</v>
      </c>
      <c r="G81" s="25" t="n">
        <f aca="false">G80+E81*IF(D81&gt;0,(IF(A81&gt;Penalty!$B$19,Penalty!$I$5,0)+G80)/D81,0)</f>
        <v>20.678762265403</v>
      </c>
    </row>
    <row r="82" customFormat="false" ht="15" hidden="false" customHeight="false" outlineLevel="0" collapsed="false">
      <c r="A82" s="23" t="n">
        <f aca="false">Penalty!$B$5+78</f>
        <v>46205</v>
      </c>
      <c r="B82" s="24" t="n">
        <f aca="false">IF(YEAR(A82)&gt;2026,Penalty!$B$16/100,IFERROR(INDEX(Rates!$B$4:$E$15,MATCH(YEAR(A82),Rates!$A$4:$A$15,0),ROUNDUP(MONTH(A82)/3,0))/100,0.03))</f>
        <v>0.07</v>
      </c>
      <c r="C82" s="25" t="n">
        <f aca="false">MAX(0,Penalty!$B$4-SUMIFS(Penalty!$C$10:$C$12,Penalty!$B$10:$B$12,"&lt;"&amp;A82))</f>
        <v>12000</v>
      </c>
      <c r="D82" s="25" t="n">
        <f aca="false">IF(A82&lt;=Penalty!$B$8,C82+F81+IF(A82&gt;Penalty!$B$19,Penalty!$I$5,0)+G81,0)</f>
        <v>13793.8547790462</v>
      </c>
      <c r="E82" s="26" t="n">
        <f aca="false">D82*B82/365</f>
        <v>2.64539680694036</v>
      </c>
      <c r="F82" s="25" t="n">
        <f aca="false">F81+E82*(1-IF(D82&gt;0,(IF(A82&gt;Penalty!$B$19,Penalty!$I$5,0)+G81)/D82,0))</f>
        <v>155.506762866173</v>
      </c>
      <c r="G82" s="25" t="n">
        <f aca="false">G81+E82*IF(D82&gt;0,(IF(A82&gt;Penalty!$B$19,Penalty!$I$5,0)+G81)/D82,0)</f>
        <v>20.9934129869333</v>
      </c>
    </row>
    <row r="83" customFormat="false" ht="15" hidden="false" customHeight="false" outlineLevel="0" collapsed="false">
      <c r="A83" s="23" t="n">
        <f aca="false">Penalty!$B$5+79</f>
        <v>46206</v>
      </c>
      <c r="B83" s="24" t="n">
        <f aca="false">IF(YEAR(A83)&gt;2026,Penalty!$B$16/100,IFERROR(INDEX(Rates!$B$4:$E$15,MATCH(YEAR(A83),Rates!$A$4:$A$15,0),ROUNDUP(MONTH(A83)/3,0))/100,0.03))</f>
        <v>0.07</v>
      </c>
      <c r="C83" s="25" t="n">
        <f aca="false">MAX(0,Penalty!$B$4-SUMIFS(Penalty!$C$10:$C$12,Penalty!$B$10:$B$12,"&lt;"&amp;A83))</f>
        <v>12000</v>
      </c>
      <c r="D83" s="25" t="n">
        <f aca="false">IF(A83&lt;=Penalty!$B$8,C83+F82+IF(A83&gt;Penalty!$B$19,Penalty!$I$5,0)+G82,0)</f>
        <v>13796.5001758531</v>
      </c>
      <c r="E83" s="26" t="n">
        <f aca="false">D83*B83/365</f>
        <v>2.64590414331429</v>
      </c>
      <c r="F83" s="25" t="n">
        <f aca="false">F82+E83*(1-IF(D83&gt;0,(IF(A83&gt;Penalty!$B$19,Penalty!$I$5,0)+G82)/D83,0))</f>
        <v>157.837955943983</v>
      </c>
      <c r="G83" s="25" t="n">
        <f aca="false">G82+E83*IF(D83&gt;0,(IF(A83&gt;Penalty!$B$19,Penalty!$I$5,0)+G82)/D83,0)</f>
        <v>21.3081240524377</v>
      </c>
    </row>
    <row r="84" customFormat="false" ht="15" hidden="false" customHeight="false" outlineLevel="0" collapsed="false">
      <c r="A84" s="23" t="n">
        <f aca="false">Penalty!$B$5+80</f>
        <v>46207</v>
      </c>
      <c r="B84" s="24" t="n">
        <f aca="false">IF(YEAR(A84)&gt;2026,Penalty!$B$16/100,IFERROR(INDEX(Rates!$B$4:$E$15,MATCH(YEAR(A84),Rates!$A$4:$A$15,0),ROUNDUP(MONTH(A84)/3,0))/100,0.03))</f>
        <v>0.07</v>
      </c>
      <c r="C84" s="25" t="n">
        <f aca="false">MAX(0,Penalty!$B$4-SUMIFS(Penalty!$C$10:$C$12,Penalty!$B$10:$B$12,"&lt;"&amp;A84))</f>
        <v>12000</v>
      </c>
      <c r="D84" s="25" t="n">
        <f aca="false">IF(A84&lt;=Penalty!$B$8,C84+F83+IF(A84&gt;Penalty!$B$19,Penalty!$I$5,0)+G83,0)</f>
        <v>13799.1460799964</v>
      </c>
      <c r="E84" s="26" t="n">
        <f aca="false">D84*B84/365</f>
        <v>2.64641157698562</v>
      </c>
      <c r="F84" s="25" t="n">
        <f aca="false">F83+E84*(1-IF(D84&gt;0,(IF(A84&gt;Penalty!$B$19,Penalty!$I$5,0)+G83)/D84,0))</f>
        <v>160.169596099917</v>
      </c>
      <c r="G84" s="25" t="n">
        <f aca="false">G83+E84*IF(D84&gt;0,(IF(A84&gt;Penalty!$B$19,Penalty!$I$5,0)+G83)/D84,0)</f>
        <v>21.6228954734888</v>
      </c>
    </row>
    <row r="85" customFormat="false" ht="15" hidden="false" customHeight="false" outlineLevel="0" collapsed="false">
      <c r="A85" s="23" t="n">
        <f aca="false">Penalty!$B$5+81</f>
        <v>46208</v>
      </c>
      <c r="B85" s="24" t="n">
        <f aca="false">IF(YEAR(A85)&gt;2026,Penalty!$B$16/100,IFERROR(INDEX(Rates!$B$4:$E$15,MATCH(YEAR(A85),Rates!$A$4:$A$15,0),ROUNDUP(MONTH(A85)/3,0))/100,0.03))</f>
        <v>0.07</v>
      </c>
      <c r="C85" s="25" t="n">
        <f aca="false">MAX(0,Penalty!$B$4-SUMIFS(Penalty!$C$10:$C$12,Penalty!$B$10:$B$12,"&lt;"&amp;A85))</f>
        <v>12000</v>
      </c>
      <c r="D85" s="25" t="n">
        <f aca="false">IF(A85&lt;=Penalty!$B$8,C85+F84+IF(A85&gt;Penalty!$B$19,Penalty!$I$5,0)+G84,0)</f>
        <v>13801.7924915734</v>
      </c>
      <c r="E85" s="26" t="n">
        <f aca="false">D85*B85/365</f>
        <v>2.64691910797298</v>
      </c>
      <c r="F85" s="25" t="n">
        <f aca="false">F84+E85*(1-IF(D85&gt;0,(IF(A85&gt;Penalty!$B$19,Penalty!$I$5,0)+G84)/D85,0))</f>
        <v>162.501683419717</v>
      </c>
      <c r="G85" s="25" t="n">
        <f aca="false">G84+E85*IF(D85&gt;0,(IF(A85&gt;Penalty!$B$19,Penalty!$I$5,0)+G84)/D85,0)</f>
        <v>21.9377272616618</v>
      </c>
    </row>
    <row r="86" customFormat="false" ht="15" hidden="false" customHeight="false" outlineLevel="0" collapsed="false">
      <c r="A86" s="23" t="n">
        <f aca="false">Penalty!$B$5+82</f>
        <v>46209</v>
      </c>
      <c r="B86" s="24" t="n">
        <f aca="false">IF(YEAR(A86)&gt;2026,Penalty!$B$16/100,IFERROR(INDEX(Rates!$B$4:$E$15,MATCH(YEAR(A86),Rates!$A$4:$A$15,0),ROUNDUP(MONTH(A86)/3,0))/100,0.03))</f>
        <v>0.07</v>
      </c>
      <c r="C86" s="25" t="n">
        <f aca="false">MAX(0,Penalty!$B$4-SUMIFS(Penalty!$C$10:$C$12,Penalty!$B$10:$B$12,"&lt;"&amp;A86))</f>
        <v>12000</v>
      </c>
      <c r="D86" s="25" t="n">
        <f aca="false">IF(A86&lt;=Penalty!$B$8,C86+F85+IF(A86&gt;Penalty!$B$19,Penalty!$I$5,0)+G85,0)</f>
        <v>13804.4394106814</v>
      </c>
      <c r="E86" s="26" t="n">
        <f aca="false">D86*B86/365</f>
        <v>2.64742673629506</v>
      </c>
      <c r="F86" s="25" t="n">
        <f aca="false">F85+E86*(1-IF(D86&gt;0,(IF(A86&gt;Penalty!$B$19,Penalty!$I$5,0)+G85)/D86,0))</f>
        <v>164.83421798914</v>
      </c>
      <c r="G86" s="25" t="n">
        <f aca="false">G85+E86*IF(D86&gt;0,(IF(A86&gt;Penalty!$B$19,Penalty!$I$5,0)+G85)/D86,0)</f>
        <v>22.2526194285339</v>
      </c>
    </row>
    <row r="87" customFormat="false" ht="15" hidden="false" customHeight="false" outlineLevel="0" collapsed="false">
      <c r="A87" s="23" t="n">
        <f aca="false">Penalty!$B$5+83</f>
        <v>46210</v>
      </c>
      <c r="B87" s="24" t="n">
        <f aca="false">IF(YEAR(A87)&gt;2026,Penalty!$B$16/100,IFERROR(INDEX(Rates!$B$4:$E$15,MATCH(YEAR(A87),Rates!$A$4:$A$15,0),ROUNDUP(MONTH(A87)/3,0))/100,0.03))</f>
        <v>0.07</v>
      </c>
      <c r="C87" s="25" t="n">
        <f aca="false">MAX(0,Penalty!$B$4-SUMIFS(Penalty!$C$10:$C$12,Penalty!$B$10:$B$12,"&lt;"&amp;A87))</f>
        <v>12000</v>
      </c>
      <c r="D87" s="25" t="n">
        <f aca="false">IF(A87&lt;=Penalty!$B$8,C87+F86+IF(A87&gt;Penalty!$B$19,Penalty!$I$5,0)+G86,0)</f>
        <v>13807.0868374177</v>
      </c>
      <c r="E87" s="26" t="n">
        <f aca="false">D87*B87/365</f>
        <v>2.64793446197051</v>
      </c>
      <c r="F87" s="25" t="n">
        <f aca="false">F86+E87*(1-IF(D87&gt;0,(IF(A87&gt;Penalty!$B$19,Penalty!$I$5,0)+G86)/D87,0))</f>
        <v>167.16719989396</v>
      </c>
      <c r="G87" s="25" t="n">
        <f aca="false">G86+E87*IF(D87&gt;0,(IF(A87&gt;Penalty!$B$19,Penalty!$I$5,0)+G86)/D87,0)</f>
        <v>22.5675719856846</v>
      </c>
    </row>
    <row r="88" customFormat="false" ht="15" hidden="false" customHeight="false" outlineLevel="0" collapsed="false">
      <c r="A88" s="23" t="n">
        <f aca="false">Penalty!$B$5+84</f>
        <v>46211</v>
      </c>
      <c r="B88" s="24" t="n">
        <f aca="false">IF(YEAR(A88)&gt;2026,Penalty!$B$16/100,IFERROR(INDEX(Rates!$B$4:$E$15,MATCH(YEAR(A88),Rates!$A$4:$A$15,0),ROUNDUP(MONTH(A88)/3,0))/100,0.03))</f>
        <v>0.07</v>
      </c>
      <c r="C88" s="25" t="n">
        <f aca="false">MAX(0,Penalty!$B$4-SUMIFS(Penalty!$C$10:$C$12,Penalty!$B$10:$B$12,"&lt;"&amp;A88))</f>
        <v>12000</v>
      </c>
      <c r="D88" s="25" t="n">
        <f aca="false">IF(A88&lt;=Penalty!$B$8,C88+F87+IF(A88&gt;Penalty!$B$19,Penalty!$I$5,0)+G87,0)</f>
        <v>13809.7347718796</v>
      </c>
      <c r="E88" s="26" t="n">
        <f aca="false">D88*B88/365</f>
        <v>2.64844228501801</v>
      </c>
      <c r="F88" s="25" t="n">
        <f aca="false">F87+E88*(1-IF(D88&gt;0,(IF(A88&gt;Penalty!$B$19,Penalty!$I$5,0)+G87)/D88,0))</f>
        <v>169.500629219967</v>
      </c>
      <c r="G88" s="25" t="n">
        <f aca="false">G87+E88*IF(D88&gt;0,(IF(A88&gt;Penalty!$B$19,Penalty!$I$5,0)+G87)/D88,0)</f>
        <v>22.8825849446955</v>
      </c>
    </row>
    <row r="89" customFormat="false" ht="15" hidden="false" customHeight="false" outlineLevel="0" collapsed="false">
      <c r="A89" s="23" t="n">
        <f aca="false">Penalty!$B$5+85</f>
        <v>46212</v>
      </c>
      <c r="B89" s="24" t="n">
        <f aca="false">IF(YEAR(A89)&gt;2026,Penalty!$B$16/100,IFERROR(INDEX(Rates!$B$4:$E$15,MATCH(YEAR(A89),Rates!$A$4:$A$15,0),ROUNDUP(MONTH(A89)/3,0))/100,0.03))</f>
        <v>0.07</v>
      </c>
      <c r="C89" s="25" t="n">
        <f aca="false">MAX(0,Penalty!$B$4-SUMIFS(Penalty!$C$10:$C$12,Penalty!$B$10:$B$12,"&lt;"&amp;A89))</f>
        <v>12000</v>
      </c>
      <c r="D89" s="25" t="n">
        <f aca="false">IF(A89&lt;=Penalty!$B$8,C89+F88+IF(A89&gt;Penalty!$B$19,Penalty!$I$5,0)+G88,0)</f>
        <v>13812.3832141647</v>
      </c>
      <c r="E89" s="26" t="n">
        <f aca="false">D89*B89/365</f>
        <v>2.64895020545624</v>
      </c>
      <c r="F89" s="25" t="n">
        <f aca="false">F88+E89*(1-IF(D89&gt;0,(IF(A89&gt;Penalty!$B$19,Penalty!$I$5,0)+G88)/D89,0))</f>
        <v>171.834506052968</v>
      </c>
      <c r="G89" s="25" t="n">
        <f aca="false">G88+E89*IF(D89&gt;0,(IF(A89&gt;Penalty!$B$19,Penalty!$I$5,0)+G88)/D89,0)</f>
        <v>23.1976583171507</v>
      </c>
    </row>
    <row r="90" customFormat="false" ht="15" hidden="false" customHeight="false" outlineLevel="0" collapsed="false">
      <c r="A90" s="23" t="n">
        <f aca="false">Penalty!$B$5+86</f>
        <v>46213</v>
      </c>
      <c r="B90" s="24" t="n">
        <f aca="false">IF(YEAR(A90)&gt;2026,Penalty!$B$16/100,IFERROR(INDEX(Rates!$B$4:$E$15,MATCH(YEAR(A90),Rates!$A$4:$A$15,0),ROUNDUP(MONTH(A90)/3,0))/100,0.03))</f>
        <v>0.07</v>
      </c>
      <c r="C90" s="25" t="n">
        <f aca="false">MAX(0,Penalty!$B$4-SUMIFS(Penalty!$C$10:$C$12,Penalty!$B$10:$B$12,"&lt;"&amp;A90))</f>
        <v>12000</v>
      </c>
      <c r="D90" s="25" t="n">
        <f aca="false">IF(A90&lt;=Penalty!$B$8,C90+F89+IF(A90&gt;Penalty!$B$19,Penalty!$I$5,0)+G89,0)</f>
        <v>13815.0321643701</v>
      </c>
      <c r="E90" s="26" t="n">
        <f aca="false">D90*B90/365</f>
        <v>2.64945822330386</v>
      </c>
      <c r="F90" s="25" t="n">
        <f aca="false">F89+E90*(1-IF(D90&gt;0,(IF(A90&gt;Penalty!$B$19,Penalty!$I$5,0)+G89)/D90,0))</f>
        <v>174.168830478786</v>
      </c>
      <c r="G90" s="25" t="n">
        <f aca="false">G89+E90*IF(D90&gt;0,(IF(A90&gt;Penalty!$B$19,Penalty!$I$5,0)+G89)/D90,0)</f>
        <v>23.5127921146362</v>
      </c>
    </row>
    <row r="91" customFormat="false" ht="15" hidden="false" customHeight="false" outlineLevel="0" collapsed="false">
      <c r="A91" s="23" t="n">
        <f aca="false">Penalty!$B$5+87</f>
        <v>46214</v>
      </c>
      <c r="B91" s="24" t="n">
        <f aca="false">IF(YEAR(A91)&gt;2026,Penalty!$B$16/100,IFERROR(INDEX(Rates!$B$4:$E$15,MATCH(YEAR(A91),Rates!$A$4:$A$15,0),ROUNDUP(MONTH(A91)/3,0))/100,0.03))</f>
        <v>0.07</v>
      </c>
      <c r="C91" s="25" t="n">
        <f aca="false">MAX(0,Penalty!$B$4-SUMIFS(Penalty!$C$10:$C$12,Penalty!$B$10:$B$12,"&lt;"&amp;A91))</f>
        <v>12000</v>
      </c>
      <c r="D91" s="25" t="n">
        <f aca="false">IF(A91&lt;=Penalty!$B$8,C91+F90+IF(A91&gt;Penalty!$B$19,Penalty!$I$5,0)+G90,0)</f>
        <v>13817.6816225934</v>
      </c>
      <c r="E91" s="26" t="n">
        <f aca="false">D91*B91/365</f>
        <v>2.64996633857956</v>
      </c>
      <c r="F91" s="25" t="n">
        <f aca="false">F90+E91*(1-IF(D91&gt;0,(IF(A91&gt;Penalty!$B$19,Penalty!$I$5,0)+G90)/D91,0))</f>
        <v>176.503602583262</v>
      </c>
      <c r="G91" s="25" t="n">
        <f aca="false">G90+E91*IF(D91&gt;0,(IF(A91&gt;Penalty!$B$19,Penalty!$I$5,0)+G90)/D91,0)</f>
        <v>23.8279863487403</v>
      </c>
    </row>
    <row r="92" customFormat="false" ht="15" hidden="false" customHeight="false" outlineLevel="0" collapsed="false">
      <c r="A92" s="23" t="n">
        <f aca="false">Penalty!$B$5+88</f>
        <v>46215</v>
      </c>
      <c r="B92" s="24" t="n">
        <f aca="false">IF(YEAR(A92)&gt;2026,Penalty!$B$16/100,IFERROR(INDEX(Rates!$B$4:$E$15,MATCH(YEAR(A92),Rates!$A$4:$A$15,0),ROUNDUP(MONTH(A92)/3,0))/100,0.03))</f>
        <v>0.07</v>
      </c>
      <c r="C92" s="25" t="n">
        <f aca="false">MAX(0,Penalty!$B$4-SUMIFS(Penalty!$C$10:$C$12,Penalty!$B$10:$B$12,"&lt;"&amp;A92))</f>
        <v>12000</v>
      </c>
      <c r="D92" s="25" t="n">
        <f aca="false">IF(A92&lt;=Penalty!$B$8,C92+F91+IF(A92&gt;Penalty!$B$19,Penalty!$I$5,0)+G91,0)</f>
        <v>13820.331588932</v>
      </c>
      <c r="E92" s="26" t="n">
        <f aca="false">D92*B92/365</f>
        <v>2.65047455130203</v>
      </c>
      <c r="F92" s="25" t="n">
        <f aca="false">F91+E92*(1-IF(D92&gt;0,(IF(A92&gt;Penalty!$B$19,Penalty!$I$5,0)+G91)/D92,0))</f>
        <v>178.83882245225</v>
      </c>
      <c r="G92" s="25" t="n">
        <f aca="false">G91+E92*IF(D92&gt;0,(IF(A92&gt;Penalty!$B$19,Penalty!$I$5,0)+G91)/D92,0)</f>
        <v>24.1432410310538</v>
      </c>
    </row>
    <row r="93" customFormat="false" ht="15" hidden="false" customHeight="false" outlineLevel="0" collapsed="false">
      <c r="A93" s="23" t="n">
        <f aca="false">Penalty!$B$5+89</f>
        <v>46216</v>
      </c>
      <c r="B93" s="24" t="n">
        <f aca="false">IF(YEAR(A93)&gt;2026,Penalty!$B$16/100,IFERROR(INDEX(Rates!$B$4:$E$15,MATCH(YEAR(A93),Rates!$A$4:$A$15,0),ROUNDUP(MONTH(A93)/3,0))/100,0.03))</f>
        <v>0.07</v>
      </c>
      <c r="C93" s="25" t="n">
        <f aca="false">MAX(0,Penalty!$B$4-SUMIFS(Penalty!$C$10:$C$12,Penalty!$B$10:$B$12,"&lt;"&amp;A93))</f>
        <v>12000</v>
      </c>
      <c r="D93" s="25" t="n">
        <f aca="false">IF(A93&lt;=Penalty!$B$8,C93+F92+IF(A93&gt;Penalty!$B$19,Penalty!$I$5,0)+G92,0)</f>
        <v>13822.9820634833</v>
      </c>
      <c r="E93" s="26" t="n">
        <f aca="false">D93*B93/365</f>
        <v>2.65098286148995</v>
      </c>
      <c r="F93" s="25" t="n">
        <f aca="false">F92+E93*(1-IF(D93&gt;0,(IF(A93&gt;Penalty!$B$19,Penalty!$I$5,0)+G92)/D93,0))</f>
        <v>181.174490171625</v>
      </c>
      <c r="G93" s="25" t="n">
        <f aca="false">G92+E93*IF(D93&gt;0,(IF(A93&gt;Penalty!$B$19,Penalty!$I$5,0)+G92)/D93,0)</f>
        <v>24.4585561731693</v>
      </c>
    </row>
    <row r="94" customFormat="false" ht="15" hidden="false" customHeight="false" outlineLevel="0" collapsed="false">
      <c r="A94" s="23" t="n">
        <f aca="false">Penalty!$B$5+90</f>
        <v>46217</v>
      </c>
      <c r="B94" s="24" t="n">
        <f aca="false">IF(YEAR(A94)&gt;2026,Penalty!$B$16/100,IFERROR(INDEX(Rates!$B$4:$E$15,MATCH(YEAR(A94),Rates!$A$4:$A$15,0),ROUNDUP(MONTH(A94)/3,0))/100,0.03))</f>
        <v>0.07</v>
      </c>
      <c r="C94" s="25" t="n">
        <f aca="false">MAX(0,Penalty!$B$4-SUMIFS(Penalty!$C$10:$C$12,Penalty!$B$10:$B$12,"&lt;"&amp;A94))</f>
        <v>12000</v>
      </c>
      <c r="D94" s="25" t="n">
        <f aca="false">IF(A94&lt;=Penalty!$B$8,C94+F93+IF(A94&gt;Penalty!$B$19,Penalty!$I$5,0)+G93,0)</f>
        <v>13825.6330463448</v>
      </c>
      <c r="E94" s="26" t="n">
        <f aca="false">D94*B94/365</f>
        <v>2.65149126916202</v>
      </c>
      <c r="F94" s="25" t="n">
        <f aca="false">F93+E94*(1-IF(D94&gt;0,(IF(A94&gt;Penalty!$B$19,Penalty!$I$5,0)+G93)/D94,0))</f>
        <v>183.510605827274</v>
      </c>
      <c r="G94" s="25" t="n">
        <f aca="false">G93+E94*IF(D94&gt;0,(IF(A94&gt;Penalty!$B$19,Penalty!$I$5,0)+G93)/D94,0)</f>
        <v>24.773931786682</v>
      </c>
    </row>
    <row r="95" customFormat="false" ht="15" hidden="false" customHeight="false" outlineLevel="0" collapsed="false">
      <c r="A95" s="23" t="n">
        <f aca="false">Penalty!$B$5+91</f>
        <v>46218</v>
      </c>
      <c r="B95" s="24" t="n">
        <f aca="false">IF(YEAR(A95)&gt;2026,Penalty!$B$16/100,IFERROR(INDEX(Rates!$B$4:$E$15,MATCH(YEAR(A95),Rates!$A$4:$A$15,0),ROUNDUP(MONTH(A95)/3,0))/100,0.03))</f>
        <v>0.07</v>
      </c>
      <c r="C95" s="25" t="n">
        <f aca="false">MAX(0,Penalty!$B$4-SUMIFS(Penalty!$C$10:$C$12,Penalty!$B$10:$B$12,"&lt;"&amp;A95))</f>
        <v>12000</v>
      </c>
      <c r="D95" s="25" t="n">
        <f aca="false">IF(A95&lt;=Penalty!$B$8,C95+F94+IF(A95&gt;Penalty!$B$19,Penalty!$I$5,0)+G94,0)</f>
        <v>13828.284537614</v>
      </c>
      <c r="E95" s="26" t="n">
        <f aca="false">D95*B95/365</f>
        <v>2.65199977433692</v>
      </c>
      <c r="F95" s="25" t="n">
        <f aca="false">F94+E95*(1-IF(D95&gt;0,(IF(A95&gt;Penalty!$B$19,Penalty!$I$5,0)+G94)/D95,0))</f>
        <v>185.847169505104</v>
      </c>
      <c r="G95" s="25" t="n">
        <f aca="false">G94+E95*IF(D95&gt;0,(IF(A95&gt;Penalty!$B$19,Penalty!$I$5,0)+G94)/D95,0)</f>
        <v>25.089367883189</v>
      </c>
    </row>
    <row r="96" customFormat="false" ht="15" hidden="false" customHeight="false" outlineLevel="0" collapsed="false">
      <c r="A96" s="23" t="n">
        <f aca="false">Penalty!$B$5+92</f>
        <v>46219</v>
      </c>
      <c r="B96" s="24" t="n">
        <f aca="false">IF(YEAR(A96)&gt;2026,Penalty!$B$16/100,IFERROR(INDEX(Rates!$B$4:$E$15,MATCH(YEAR(A96),Rates!$A$4:$A$15,0),ROUNDUP(MONTH(A96)/3,0))/100,0.03))</f>
        <v>0.07</v>
      </c>
      <c r="C96" s="25" t="n">
        <f aca="false">MAX(0,Penalty!$B$4-SUMIFS(Penalty!$C$10:$C$12,Penalty!$B$10:$B$12,"&lt;"&amp;A96))</f>
        <v>12000</v>
      </c>
      <c r="D96" s="25" t="n">
        <f aca="false">IF(A96&lt;=Penalty!$B$8,C96+F95+IF(A96&gt;Penalty!$B$19,Penalty!$I$5,0)+G95,0)</f>
        <v>13830.9365373883</v>
      </c>
      <c r="E96" s="26" t="n">
        <f aca="false">D96*B96/365</f>
        <v>2.65250837703337</v>
      </c>
      <c r="F96" s="25" t="n">
        <f aca="false">F95+E96*(1-IF(D96&gt;0,(IF(A96&gt;Penalty!$B$19,Penalty!$I$5,0)+G95)/D96,0))</f>
        <v>188.184181291037</v>
      </c>
      <c r="G96" s="25" t="n">
        <f aca="false">G95+E96*IF(D96&gt;0,(IF(A96&gt;Penalty!$B$19,Penalty!$I$5,0)+G95)/D96,0)</f>
        <v>25.4048644742899</v>
      </c>
    </row>
    <row r="97" customFormat="false" ht="15" hidden="false" customHeight="false" outlineLevel="0" collapsed="false">
      <c r="A97" s="23" t="n">
        <f aca="false">Penalty!$B$5+93</f>
        <v>46220</v>
      </c>
      <c r="B97" s="24" t="n">
        <f aca="false">IF(YEAR(A97)&gt;2026,Penalty!$B$16/100,IFERROR(INDEX(Rates!$B$4:$E$15,MATCH(YEAR(A97),Rates!$A$4:$A$15,0),ROUNDUP(MONTH(A97)/3,0))/100,0.03))</f>
        <v>0.07</v>
      </c>
      <c r="C97" s="25" t="n">
        <f aca="false">MAX(0,Penalty!$B$4-SUMIFS(Penalty!$C$10:$C$12,Penalty!$B$10:$B$12,"&lt;"&amp;A97))</f>
        <v>12000</v>
      </c>
      <c r="D97" s="25" t="n">
        <f aca="false">IF(A97&lt;=Penalty!$B$8,C97+F96+IF(A97&gt;Penalty!$B$19,Penalty!$I$5,0)+G96,0)</f>
        <v>13833.5890457653</v>
      </c>
      <c r="E97" s="26" t="n">
        <f aca="false">D97*B97/365</f>
        <v>2.65301707727006</v>
      </c>
      <c r="F97" s="25" t="n">
        <f aca="false">F96+E97*(1-IF(D97&gt;0,(IF(A97&gt;Penalty!$B$19,Penalty!$I$5,0)+G96)/D97,0))</f>
        <v>190.52164127101</v>
      </c>
      <c r="G97" s="25" t="n">
        <f aca="false">G96+E97*IF(D97&gt;0,(IF(A97&gt;Penalty!$B$19,Penalty!$I$5,0)+G96)/D97,0)</f>
        <v>25.7204215715864</v>
      </c>
    </row>
    <row r="98" customFormat="false" ht="15" hidden="false" customHeight="false" outlineLevel="0" collapsed="false">
      <c r="A98" s="23" t="n">
        <f aca="false">Penalty!$B$5+94</f>
        <v>46221</v>
      </c>
      <c r="B98" s="24" t="n">
        <f aca="false">IF(YEAR(A98)&gt;2026,Penalty!$B$16/100,IFERROR(INDEX(Rates!$B$4:$E$15,MATCH(YEAR(A98),Rates!$A$4:$A$15,0),ROUNDUP(MONTH(A98)/3,0))/100,0.03))</f>
        <v>0.07</v>
      </c>
      <c r="C98" s="25" t="n">
        <f aca="false">MAX(0,Penalty!$B$4-SUMIFS(Penalty!$C$10:$C$12,Penalty!$B$10:$B$12,"&lt;"&amp;A98))</f>
        <v>12000</v>
      </c>
      <c r="D98" s="25" t="n">
        <f aca="false">IF(A98&lt;=Penalty!$B$8,C98+F97+IF(A98&gt;Penalty!$B$19,Penalty!$I$5,0)+G97,0)</f>
        <v>13836.2420628426</v>
      </c>
      <c r="E98" s="26" t="n">
        <f aca="false">D98*B98/365</f>
        <v>2.6535258750657</v>
      </c>
      <c r="F98" s="25" t="n">
        <f aca="false">F97+E98*(1-IF(D98&gt;0,(IF(A98&gt;Penalty!$B$19,Penalty!$I$5,0)+G97)/D98,0))</f>
        <v>192.85954953098</v>
      </c>
      <c r="G98" s="25" t="n">
        <f aca="false">G97+E98*IF(D98&gt;0,(IF(A98&gt;Penalty!$B$19,Penalty!$I$5,0)+G97)/D98,0)</f>
        <v>26.0360391866823</v>
      </c>
    </row>
    <row r="99" customFormat="false" ht="15" hidden="false" customHeight="false" outlineLevel="0" collapsed="false">
      <c r="A99" s="23" t="n">
        <f aca="false">Penalty!$B$5+95</f>
        <v>46222</v>
      </c>
      <c r="B99" s="24" t="n">
        <f aca="false">IF(YEAR(A99)&gt;2026,Penalty!$B$16/100,IFERROR(INDEX(Rates!$B$4:$E$15,MATCH(YEAR(A99),Rates!$A$4:$A$15,0),ROUNDUP(MONTH(A99)/3,0))/100,0.03))</f>
        <v>0.07</v>
      </c>
      <c r="C99" s="25" t="n">
        <f aca="false">MAX(0,Penalty!$B$4-SUMIFS(Penalty!$C$10:$C$12,Penalty!$B$10:$B$12,"&lt;"&amp;A99))</f>
        <v>12000</v>
      </c>
      <c r="D99" s="25" t="n">
        <f aca="false">IF(A99&lt;=Penalty!$B$8,C99+F98+IF(A99&gt;Penalty!$B$19,Penalty!$I$5,0)+G98,0)</f>
        <v>13838.8955887177</v>
      </c>
      <c r="E99" s="26" t="n">
        <f aca="false">D99*B99/365</f>
        <v>2.654034770439</v>
      </c>
      <c r="F99" s="25" t="n">
        <f aca="false">F98+E99*(1-IF(D99&gt;0,(IF(A99&gt;Penalty!$B$19,Penalty!$I$5,0)+G98)/D99,0))</f>
        <v>195.197906156917</v>
      </c>
      <c r="G99" s="25" t="n">
        <f aca="false">G98+E99*IF(D99&gt;0,(IF(A99&gt;Penalty!$B$19,Penalty!$I$5,0)+G98)/D99,0)</f>
        <v>26.3517173311838</v>
      </c>
    </row>
    <row r="100" customFormat="false" ht="15" hidden="false" customHeight="false" outlineLevel="0" collapsed="false">
      <c r="A100" s="23" t="n">
        <f aca="false">Penalty!$B$5+96</f>
        <v>46223</v>
      </c>
      <c r="B100" s="24" t="n">
        <f aca="false">IF(YEAR(A100)&gt;2026,Penalty!$B$16/100,IFERROR(INDEX(Rates!$B$4:$E$15,MATCH(YEAR(A100),Rates!$A$4:$A$15,0),ROUNDUP(MONTH(A100)/3,0))/100,0.03))</f>
        <v>0.07</v>
      </c>
      <c r="C100" s="25" t="n">
        <f aca="false">MAX(0,Penalty!$B$4-SUMIFS(Penalty!$C$10:$C$12,Penalty!$B$10:$B$12,"&lt;"&amp;A100))</f>
        <v>12000</v>
      </c>
      <c r="D100" s="25" t="n">
        <f aca="false">IF(A100&lt;=Penalty!$B$8,C100+F99+IF(A100&gt;Penalty!$B$19,Penalty!$I$5,0)+G99,0)</f>
        <v>13841.5496234881</v>
      </c>
      <c r="E100" s="26" t="n">
        <f aca="false">D100*B100/365</f>
        <v>2.65454376340868</v>
      </c>
      <c r="F100" s="25" t="n">
        <f aca="false">F99+E100*(1-IF(D100&gt;0,(IF(A100&gt;Penalty!$B$19,Penalty!$I$5,0)+G99)/D100,0))</f>
        <v>197.536711234811</v>
      </c>
      <c r="G100" s="25" t="n">
        <f aca="false">G99+E100*IF(D100&gt;0,(IF(A100&gt;Penalty!$B$19,Penalty!$I$5,0)+G99)/D100,0)</f>
        <v>26.6674560166994</v>
      </c>
    </row>
    <row r="101" customFormat="false" ht="15" hidden="false" customHeight="false" outlineLevel="0" collapsed="false">
      <c r="A101" s="23" t="n">
        <f aca="false">Penalty!$B$5+97</f>
        <v>46224</v>
      </c>
      <c r="B101" s="24" t="n">
        <f aca="false">IF(YEAR(A101)&gt;2026,Penalty!$B$16/100,IFERROR(INDEX(Rates!$B$4:$E$15,MATCH(YEAR(A101),Rates!$A$4:$A$15,0),ROUNDUP(MONTH(A101)/3,0))/100,0.03))</f>
        <v>0.07</v>
      </c>
      <c r="C101" s="25" t="n">
        <f aca="false">MAX(0,Penalty!$B$4-SUMIFS(Penalty!$C$10:$C$12,Penalty!$B$10:$B$12,"&lt;"&amp;A101))</f>
        <v>12000</v>
      </c>
      <c r="D101" s="25" t="n">
        <f aca="false">IF(A101&lt;=Penalty!$B$8,C101+F100+IF(A101&gt;Penalty!$B$19,Penalty!$I$5,0)+G100,0)</f>
        <v>13844.2041672515</v>
      </c>
      <c r="E101" s="26" t="n">
        <f aca="false">D101*B101/365</f>
        <v>2.65505285399344</v>
      </c>
      <c r="F101" s="25" t="n">
        <f aca="false">F100+E101*(1-IF(D101&gt;0,(IF(A101&gt;Penalty!$B$19,Penalty!$I$5,0)+G100)/D101,0))</f>
        <v>199.875964850664</v>
      </c>
      <c r="G101" s="25" t="n">
        <f aca="false">G100+E101*IF(D101&gt;0,(IF(A101&gt;Penalty!$B$19,Penalty!$I$5,0)+G100)/D101,0)</f>
        <v>26.9832552548396</v>
      </c>
    </row>
    <row r="102" customFormat="false" ht="15" hidden="false" customHeight="false" outlineLevel="0" collapsed="false">
      <c r="A102" s="23" t="n">
        <f aca="false">Penalty!$B$5+98</f>
        <v>46225</v>
      </c>
      <c r="B102" s="24" t="n">
        <f aca="false">IF(YEAR(A102)&gt;2026,Penalty!$B$16/100,IFERROR(INDEX(Rates!$B$4:$E$15,MATCH(YEAR(A102),Rates!$A$4:$A$15,0),ROUNDUP(MONTH(A102)/3,0))/100,0.03))</f>
        <v>0.07</v>
      </c>
      <c r="C102" s="25" t="n">
        <f aca="false">MAX(0,Penalty!$B$4-SUMIFS(Penalty!$C$10:$C$12,Penalty!$B$10:$B$12,"&lt;"&amp;A102))</f>
        <v>12000</v>
      </c>
      <c r="D102" s="25" t="n">
        <f aca="false">IF(A102&lt;=Penalty!$B$8,C102+F101+IF(A102&gt;Penalty!$B$19,Penalty!$I$5,0)+G101,0)</f>
        <v>13846.8592201055</v>
      </c>
      <c r="E102" s="26" t="n">
        <f aca="false">D102*B102/365</f>
        <v>2.65556204221201</v>
      </c>
      <c r="F102" s="25" t="n">
        <f aca="false">F101+E102*(1-IF(D102&gt;0,(IF(A102&gt;Penalty!$B$19,Penalty!$I$5,0)+G101)/D102,0))</f>
        <v>202.215667090498</v>
      </c>
      <c r="G102" s="25" t="n">
        <f aca="false">G101+E102*IF(D102&gt;0,(IF(A102&gt;Penalty!$B$19,Penalty!$I$5,0)+G101)/D102,0)</f>
        <v>27.2991150572172</v>
      </c>
    </row>
    <row r="103" customFormat="false" ht="15" hidden="false" customHeight="false" outlineLevel="0" collapsed="false">
      <c r="A103" s="23" t="n">
        <f aca="false">Penalty!$B$5+99</f>
        <v>46226</v>
      </c>
      <c r="B103" s="24" t="n">
        <f aca="false">IF(YEAR(A103)&gt;2026,Penalty!$B$16/100,IFERROR(INDEX(Rates!$B$4:$E$15,MATCH(YEAR(A103),Rates!$A$4:$A$15,0),ROUNDUP(MONTH(A103)/3,0))/100,0.03))</f>
        <v>0.07</v>
      </c>
      <c r="C103" s="25" t="n">
        <f aca="false">MAX(0,Penalty!$B$4-SUMIFS(Penalty!$C$10:$C$12,Penalty!$B$10:$B$12,"&lt;"&amp;A103))</f>
        <v>12000</v>
      </c>
      <c r="D103" s="25" t="n">
        <f aca="false">IF(A103&lt;=Penalty!$B$8,C103+F102+IF(A103&gt;Penalty!$B$19,Penalty!$I$5,0)+G102,0)</f>
        <v>13849.5147821477</v>
      </c>
      <c r="E103" s="26" t="n">
        <f aca="false">D103*B103/365</f>
        <v>2.65607132808312</v>
      </c>
      <c r="F103" s="25" t="n">
        <f aca="false">F102+E103*(1-IF(D103&gt;0,(IF(A103&gt;Penalty!$B$19,Penalty!$I$5,0)+G102)/D103,0))</f>
        <v>204.555818040351</v>
      </c>
      <c r="G103" s="25" t="n">
        <f aca="false">G102+E103*IF(D103&gt;0,(IF(A103&gt;Penalty!$B$19,Penalty!$I$5,0)+G102)/D103,0)</f>
        <v>27.6150354354474</v>
      </c>
    </row>
    <row r="104" customFormat="false" ht="15" hidden="false" customHeight="false" outlineLevel="0" collapsed="false">
      <c r="A104" s="23" t="n">
        <f aca="false">Penalty!$B$5+100</f>
        <v>46227</v>
      </c>
      <c r="B104" s="24" t="n">
        <f aca="false">IF(YEAR(A104)&gt;2026,Penalty!$B$16/100,IFERROR(INDEX(Rates!$B$4:$E$15,MATCH(YEAR(A104),Rates!$A$4:$A$15,0),ROUNDUP(MONTH(A104)/3,0))/100,0.03))</f>
        <v>0.07</v>
      </c>
      <c r="C104" s="25" t="n">
        <f aca="false">MAX(0,Penalty!$B$4-SUMIFS(Penalty!$C$10:$C$12,Penalty!$B$10:$B$12,"&lt;"&amp;A104))</f>
        <v>12000</v>
      </c>
      <c r="D104" s="25" t="n">
        <f aca="false">IF(A104&lt;=Penalty!$B$8,C104+F103+IF(A104&gt;Penalty!$B$19,Penalty!$I$5,0)+G103,0)</f>
        <v>13852.1708534758</v>
      </c>
      <c r="E104" s="26" t="n">
        <f aca="false">D104*B104/365</f>
        <v>2.6565807116255</v>
      </c>
      <c r="F104" s="25" t="n">
        <f aca="false">F103+E104*(1-IF(D104&gt;0,(IF(A104&gt;Penalty!$B$19,Penalty!$I$5,0)+G103)/D104,0))</f>
        <v>206.896417786277</v>
      </c>
      <c r="G104" s="25" t="n">
        <f aca="false">G103+E104*IF(D104&gt;0,(IF(A104&gt;Penalty!$B$19,Penalty!$I$5,0)+G103)/D104,0)</f>
        <v>27.9310164011473</v>
      </c>
    </row>
    <row r="105" customFormat="false" ht="15" hidden="false" customHeight="false" outlineLevel="0" collapsed="false">
      <c r="A105" s="23" t="n">
        <f aca="false">Penalty!$B$5+101</f>
        <v>46228</v>
      </c>
      <c r="B105" s="24" t="n">
        <f aca="false">IF(YEAR(A105)&gt;2026,Penalty!$B$16/100,IFERROR(INDEX(Rates!$B$4:$E$15,MATCH(YEAR(A105),Rates!$A$4:$A$15,0),ROUNDUP(MONTH(A105)/3,0))/100,0.03))</f>
        <v>0.07</v>
      </c>
      <c r="C105" s="25" t="n">
        <f aca="false">MAX(0,Penalty!$B$4-SUMIFS(Penalty!$C$10:$C$12,Penalty!$B$10:$B$12,"&lt;"&amp;A105))</f>
        <v>12000</v>
      </c>
      <c r="D105" s="25" t="n">
        <f aca="false">IF(A105&lt;=Penalty!$B$8,C105+F104+IF(A105&gt;Penalty!$B$19,Penalty!$I$5,0)+G104,0)</f>
        <v>13854.8274341874</v>
      </c>
      <c r="E105" s="26" t="n">
        <f aca="false">D105*B105/365</f>
        <v>2.65709019285786</v>
      </c>
      <c r="F105" s="25" t="n">
        <f aca="false">F104+E105*(1-IF(D105&gt;0,(IF(A105&gt;Penalty!$B$19,Penalty!$I$5,0)+G104)/D105,0))</f>
        <v>209.237466414345</v>
      </c>
      <c r="G105" s="25" t="n">
        <f aca="false">G104+E105*IF(D105&gt;0,(IF(A105&gt;Penalty!$B$19,Penalty!$I$5,0)+G104)/D105,0)</f>
        <v>28.2470579659366</v>
      </c>
    </row>
    <row r="106" customFormat="false" ht="15" hidden="false" customHeight="false" outlineLevel="0" collapsed="false">
      <c r="A106" s="23" t="n">
        <f aca="false">Penalty!$B$5+102</f>
        <v>46229</v>
      </c>
      <c r="B106" s="24" t="n">
        <f aca="false">IF(YEAR(A106)&gt;2026,Penalty!$B$16/100,IFERROR(INDEX(Rates!$B$4:$E$15,MATCH(YEAR(A106),Rates!$A$4:$A$15,0),ROUNDUP(MONTH(A106)/3,0))/100,0.03))</f>
        <v>0.07</v>
      </c>
      <c r="C106" s="25" t="n">
        <f aca="false">MAX(0,Penalty!$B$4-SUMIFS(Penalty!$C$10:$C$12,Penalty!$B$10:$B$12,"&lt;"&amp;A106))</f>
        <v>12000</v>
      </c>
      <c r="D106" s="25" t="n">
        <f aca="false">IF(A106&lt;=Penalty!$B$8,C106+F105+IF(A106&gt;Penalty!$B$19,Penalty!$I$5,0)+G105,0)</f>
        <v>13857.4845243803</v>
      </c>
      <c r="E106" s="26" t="n">
        <f aca="false">D106*B106/365</f>
        <v>2.65759977179896</v>
      </c>
      <c r="F106" s="25" t="n">
        <f aca="false">F105+E106*(1-IF(D106&gt;0,(IF(A106&gt;Penalty!$B$19,Penalty!$I$5,0)+G105)/D106,0))</f>
        <v>211.578964010644</v>
      </c>
      <c r="G106" s="25" t="n">
        <f aca="false">G105+E106*IF(D106&gt;0,(IF(A106&gt;Penalty!$B$19,Penalty!$I$5,0)+G105)/D106,0)</f>
        <v>28.5631601414369</v>
      </c>
    </row>
    <row r="107" customFormat="false" ht="15" hidden="false" customHeight="false" outlineLevel="0" collapsed="false">
      <c r="A107" s="23" t="n">
        <f aca="false">Penalty!$B$5+103</f>
        <v>46230</v>
      </c>
      <c r="B107" s="24" t="n">
        <f aca="false">IF(YEAR(A107)&gt;2026,Penalty!$B$16/100,IFERROR(INDEX(Rates!$B$4:$E$15,MATCH(YEAR(A107),Rates!$A$4:$A$15,0),ROUNDUP(MONTH(A107)/3,0))/100,0.03))</f>
        <v>0.07</v>
      </c>
      <c r="C107" s="25" t="n">
        <f aca="false">MAX(0,Penalty!$B$4-SUMIFS(Penalty!$C$10:$C$12,Penalty!$B$10:$B$12,"&lt;"&amp;A107))</f>
        <v>12000</v>
      </c>
      <c r="D107" s="25" t="n">
        <f aca="false">IF(A107&lt;=Penalty!$B$8,C107+F106+IF(A107&gt;Penalty!$B$19,Penalty!$I$5,0)+G106,0)</f>
        <v>13860.1421241521</v>
      </c>
      <c r="E107" s="26" t="n">
        <f aca="false">D107*B107/365</f>
        <v>2.65810944846752</v>
      </c>
      <c r="F107" s="25" t="n">
        <f aca="false">F106+E107*(1-IF(D107&gt;0,(IF(A107&gt;Penalty!$B$19,Penalty!$I$5,0)+G106)/D107,0))</f>
        <v>213.920910661276</v>
      </c>
      <c r="G107" s="25" t="n">
        <f aca="false">G106+E107*IF(D107&gt;0,(IF(A107&gt;Penalty!$B$19,Penalty!$I$5,0)+G106)/D107,0)</f>
        <v>28.8793229392723</v>
      </c>
    </row>
    <row r="108" customFormat="false" ht="15" hidden="false" customHeight="false" outlineLevel="0" collapsed="false">
      <c r="A108" s="23" t="n">
        <f aca="false">Penalty!$B$5+104</f>
        <v>46231</v>
      </c>
      <c r="B108" s="24" t="n">
        <f aca="false">IF(YEAR(A108)&gt;2026,Penalty!$B$16/100,IFERROR(INDEX(Rates!$B$4:$E$15,MATCH(YEAR(A108),Rates!$A$4:$A$15,0),ROUNDUP(MONTH(A108)/3,0))/100,0.03))</f>
        <v>0.07</v>
      </c>
      <c r="C108" s="25" t="n">
        <f aca="false">MAX(0,Penalty!$B$4-SUMIFS(Penalty!$C$10:$C$12,Penalty!$B$10:$B$12,"&lt;"&amp;A108))</f>
        <v>12000</v>
      </c>
      <c r="D108" s="25" t="n">
        <f aca="false">IF(A108&lt;=Penalty!$B$8,C108+F107+IF(A108&gt;Penalty!$B$19,Penalty!$I$5,0)+G107,0)</f>
        <v>13862.8002336005</v>
      </c>
      <c r="E108" s="26" t="n">
        <f aca="false">D108*B108/365</f>
        <v>2.6586192228823</v>
      </c>
      <c r="F108" s="25" t="n">
        <f aca="false">F107+E108*(1-IF(D108&gt;0,(IF(A108&gt;Penalty!$B$19,Penalty!$I$5,0)+G107)/D108,0))</f>
        <v>216.263306452362</v>
      </c>
      <c r="G108" s="25" t="n">
        <f aca="false">G107+E108*IF(D108&gt;0,(IF(A108&gt;Penalty!$B$19,Penalty!$I$5,0)+G107)/D108,0)</f>
        <v>29.1955463710688</v>
      </c>
    </row>
    <row r="109" customFormat="false" ht="15" hidden="false" customHeight="false" outlineLevel="0" collapsed="false">
      <c r="A109" s="23" t="n">
        <f aca="false">Penalty!$B$5+105</f>
        <v>46232</v>
      </c>
      <c r="B109" s="24" t="n">
        <f aca="false">IF(YEAR(A109)&gt;2026,Penalty!$B$16/100,IFERROR(INDEX(Rates!$B$4:$E$15,MATCH(YEAR(A109),Rates!$A$4:$A$15,0),ROUNDUP(MONTH(A109)/3,0))/100,0.03))</f>
        <v>0.07</v>
      </c>
      <c r="C109" s="25" t="n">
        <f aca="false">MAX(0,Penalty!$B$4-SUMIFS(Penalty!$C$10:$C$12,Penalty!$B$10:$B$12,"&lt;"&amp;A109))</f>
        <v>12000</v>
      </c>
      <c r="D109" s="25" t="n">
        <f aca="false">IF(A109&lt;=Penalty!$B$8,C109+F108+IF(A109&gt;Penalty!$B$19,Penalty!$I$5,0)+G108,0)</f>
        <v>13865.4588528234</v>
      </c>
      <c r="E109" s="26" t="n">
        <f aca="false">D109*B109/365</f>
        <v>2.65912909506203</v>
      </c>
      <c r="F109" s="25" t="n">
        <f aca="false">F108+E109*(1-IF(D109&gt;0,(IF(A109&gt;Penalty!$B$19,Penalty!$I$5,0)+G108)/D109,0))</f>
        <v>218.606151470038</v>
      </c>
      <c r="G109" s="25" t="n">
        <f aca="false">G108+E109*IF(D109&gt;0,(IF(A109&gt;Penalty!$B$19,Penalty!$I$5,0)+G108)/D109,0)</f>
        <v>29.5118304484551</v>
      </c>
    </row>
    <row r="110" customFormat="false" ht="15" hidden="false" customHeight="false" outlineLevel="0" collapsed="false">
      <c r="A110" s="23" t="n">
        <f aca="false">Penalty!$B$5+106</f>
        <v>46233</v>
      </c>
      <c r="B110" s="24" t="n">
        <f aca="false">IF(YEAR(A110)&gt;2026,Penalty!$B$16/100,IFERROR(INDEX(Rates!$B$4:$E$15,MATCH(YEAR(A110),Rates!$A$4:$A$15,0),ROUNDUP(MONTH(A110)/3,0))/100,0.03))</f>
        <v>0.07</v>
      </c>
      <c r="C110" s="25" t="n">
        <f aca="false">MAX(0,Penalty!$B$4-SUMIFS(Penalty!$C$10:$C$12,Penalty!$B$10:$B$12,"&lt;"&amp;A110))</f>
        <v>12000</v>
      </c>
      <c r="D110" s="25" t="n">
        <f aca="false">IF(A110&lt;=Penalty!$B$8,C110+F109+IF(A110&gt;Penalty!$B$19,Penalty!$I$5,0)+G109,0)</f>
        <v>13868.1179819185</v>
      </c>
      <c r="E110" s="26" t="n">
        <f aca="false">D110*B110/365</f>
        <v>2.65963906502546</v>
      </c>
      <c r="F110" s="25" t="n">
        <f aca="false">F109+E110*(1-IF(D110&gt;0,(IF(A110&gt;Penalty!$B$19,Penalty!$I$5,0)+G109)/D110,0))</f>
        <v>220.949445800456</v>
      </c>
      <c r="G110" s="25" t="n">
        <f aca="false">G109+E110*IF(D110&gt;0,(IF(A110&gt;Penalty!$B$19,Penalty!$I$5,0)+G109)/D110,0)</f>
        <v>29.8281751830616</v>
      </c>
    </row>
    <row r="111" customFormat="false" ht="15" hidden="false" customHeight="false" outlineLevel="0" collapsed="false">
      <c r="A111" s="23" t="n">
        <f aca="false">Penalty!$B$5+107</f>
        <v>46234</v>
      </c>
      <c r="B111" s="24" t="n">
        <f aca="false">IF(YEAR(A111)&gt;2026,Penalty!$B$16/100,IFERROR(INDEX(Rates!$B$4:$E$15,MATCH(YEAR(A111),Rates!$A$4:$A$15,0),ROUNDUP(MONTH(A111)/3,0))/100,0.03))</f>
        <v>0.07</v>
      </c>
      <c r="C111" s="25" t="n">
        <f aca="false">MAX(0,Penalty!$B$4-SUMIFS(Penalty!$C$10:$C$12,Penalty!$B$10:$B$12,"&lt;"&amp;A111))</f>
        <v>12000</v>
      </c>
      <c r="D111" s="25" t="n">
        <f aca="false">IF(A111&lt;=Penalty!$B$8,C111+F110+IF(A111&gt;Penalty!$B$19,Penalty!$I$5,0)+G110,0)</f>
        <v>13870.7776209835</v>
      </c>
      <c r="E111" s="26" t="n">
        <f aca="false">D111*B111/365</f>
        <v>2.66014913279136</v>
      </c>
      <c r="F111" s="25" t="n">
        <f aca="false">F110+E111*(1-IF(D111&gt;0,(IF(A111&gt;Penalty!$B$19,Penalty!$I$5,0)+G110)/D111,0))</f>
        <v>223.293189529788</v>
      </c>
      <c r="G111" s="25" t="n">
        <f aca="false">G110+E111*IF(D111&gt;0,(IF(A111&gt;Penalty!$B$19,Penalty!$I$5,0)+G110)/D111,0)</f>
        <v>30.1445805865214</v>
      </c>
    </row>
    <row r="112" customFormat="false" ht="15" hidden="false" customHeight="false" outlineLevel="0" collapsed="false">
      <c r="A112" s="23" t="n">
        <f aca="false">Penalty!$B$5+108</f>
        <v>46235</v>
      </c>
      <c r="B112" s="24" t="n">
        <f aca="false">IF(YEAR(A112)&gt;2026,Penalty!$B$16/100,IFERROR(INDEX(Rates!$B$4:$E$15,MATCH(YEAR(A112),Rates!$A$4:$A$15,0),ROUNDUP(MONTH(A112)/3,0))/100,0.03))</f>
        <v>0.07</v>
      </c>
      <c r="C112" s="25" t="n">
        <f aca="false">MAX(0,Penalty!$B$4-SUMIFS(Penalty!$C$10:$C$12,Penalty!$B$10:$B$12,"&lt;"&amp;A112))</f>
        <v>12000</v>
      </c>
      <c r="D112" s="25" t="n">
        <f aca="false">IF(A112&lt;=Penalty!$B$8,C112+F111+IF(A112&gt;Penalty!$B$19,Penalty!$I$5,0)+G111,0)</f>
        <v>13873.4377701163</v>
      </c>
      <c r="E112" s="26" t="n">
        <f aca="false">D112*B112/365</f>
        <v>2.66065929837847</v>
      </c>
      <c r="F112" s="25" t="n">
        <f aca="false">F111+E112*(1-IF(D112&gt;0,(IF(A112&gt;Penalty!$B$19,Penalty!$I$5,0)+G111)/D112,0))</f>
        <v>225.637382744218</v>
      </c>
      <c r="G112" s="25" t="n">
        <f aca="false">G111+E112*IF(D112&gt;0,(IF(A112&gt;Penalty!$B$19,Penalty!$I$5,0)+G111)/D112,0)</f>
        <v>30.4610466704695</v>
      </c>
    </row>
    <row r="113" customFormat="false" ht="15" hidden="false" customHeight="false" outlineLevel="0" collapsed="false">
      <c r="A113" s="23" t="n">
        <f aca="false">Penalty!$B$5+109</f>
        <v>46236</v>
      </c>
      <c r="B113" s="24" t="n">
        <f aca="false">IF(YEAR(A113)&gt;2026,Penalty!$B$16/100,IFERROR(INDEX(Rates!$B$4:$E$15,MATCH(YEAR(A113),Rates!$A$4:$A$15,0),ROUNDUP(MONTH(A113)/3,0))/100,0.03))</f>
        <v>0.07</v>
      </c>
      <c r="C113" s="25" t="n">
        <f aca="false">MAX(0,Penalty!$B$4-SUMIFS(Penalty!$C$10:$C$12,Penalty!$B$10:$B$12,"&lt;"&amp;A113))</f>
        <v>12000</v>
      </c>
      <c r="D113" s="25" t="n">
        <f aca="false">IF(A113&lt;=Penalty!$B$8,C113+F112+IF(A113&gt;Penalty!$B$19,Penalty!$I$5,0)+G112,0)</f>
        <v>13876.0984294147</v>
      </c>
      <c r="E113" s="26" t="n">
        <f aca="false">D113*B113/365</f>
        <v>2.66116956180556</v>
      </c>
      <c r="F113" s="25" t="n">
        <f aca="false">F112+E113*(1-IF(D113&gt;0,(IF(A113&gt;Penalty!$B$19,Penalty!$I$5,0)+G112)/D113,0))</f>
        <v>227.98202552995</v>
      </c>
      <c r="G113" s="25" t="n">
        <f aca="false">G112+E113*IF(D113&gt;0,(IF(A113&gt;Penalty!$B$19,Penalty!$I$5,0)+G112)/D113,0)</f>
        <v>30.7775734465433</v>
      </c>
    </row>
    <row r="114" customFormat="false" ht="15" hidden="false" customHeight="false" outlineLevel="0" collapsed="false">
      <c r="A114" s="23" t="n">
        <f aca="false">Penalty!$B$5+110</f>
        <v>46237</v>
      </c>
      <c r="B114" s="24" t="n">
        <f aca="false">IF(YEAR(A114)&gt;2026,Penalty!$B$16/100,IFERROR(INDEX(Rates!$B$4:$E$15,MATCH(YEAR(A114),Rates!$A$4:$A$15,0),ROUNDUP(MONTH(A114)/3,0))/100,0.03))</f>
        <v>0.07</v>
      </c>
      <c r="C114" s="25" t="n">
        <f aca="false">MAX(0,Penalty!$B$4-SUMIFS(Penalty!$C$10:$C$12,Penalty!$B$10:$B$12,"&lt;"&amp;A114))</f>
        <v>12000</v>
      </c>
      <c r="D114" s="25" t="n">
        <f aca="false">IF(A114&lt;=Penalty!$B$8,C114+F113+IF(A114&gt;Penalty!$B$19,Penalty!$I$5,0)+G113,0)</f>
        <v>13878.7595989765</v>
      </c>
      <c r="E114" s="26" t="n">
        <f aca="false">D114*B114/365</f>
        <v>2.66167992309138</v>
      </c>
      <c r="F114" s="25" t="n">
        <f aca="false">F113+E114*(1-IF(D114&gt;0,(IF(A114&gt;Penalty!$B$19,Penalty!$I$5,0)+G113)/D114,0))</f>
        <v>230.327117973203</v>
      </c>
      <c r="G114" s="25" t="n">
        <f aca="false">G113+E114*IF(D114&gt;0,(IF(A114&gt;Penalty!$B$19,Penalty!$I$5,0)+G113)/D114,0)</f>
        <v>31.0941609263823</v>
      </c>
    </row>
    <row r="115" customFormat="false" ht="15" hidden="false" customHeight="false" outlineLevel="0" collapsed="false">
      <c r="A115" s="23" t="n">
        <f aca="false">Penalty!$B$5+111</f>
        <v>46238</v>
      </c>
      <c r="B115" s="24" t="n">
        <f aca="false">IF(YEAR(A115)&gt;2026,Penalty!$B$16/100,IFERROR(INDEX(Rates!$B$4:$E$15,MATCH(YEAR(A115),Rates!$A$4:$A$15,0),ROUNDUP(MONTH(A115)/3,0))/100,0.03))</f>
        <v>0.07</v>
      </c>
      <c r="C115" s="25" t="n">
        <f aca="false">MAX(0,Penalty!$B$4-SUMIFS(Penalty!$C$10:$C$12,Penalty!$B$10:$B$12,"&lt;"&amp;A115))</f>
        <v>12000</v>
      </c>
      <c r="D115" s="25" t="n">
        <f aca="false">IF(A115&lt;=Penalty!$B$8,C115+F114+IF(A115&gt;Penalty!$B$19,Penalty!$I$5,0)+G114,0)</f>
        <v>13881.4212788996</v>
      </c>
      <c r="E115" s="26" t="n">
        <f aca="false">D115*B115/365</f>
        <v>2.66219038225472</v>
      </c>
      <c r="F115" s="25" t="n">
        <f aca="false">F114+E115*(1-IF(D115&gt;0,(IF(A115&gt;Penalty!$B$19,Penalty!$I$5,0)+G114)/D115,0))</f>
        <v>232.672660160211</v>
      </c>
      <c r="G115" s="25" t="n">
        <f aca="false">G114+E115*IF(D115&gt;0,(IF(A115&gt;Penalty!$B$19,Penalty!$I$5,0)+G114)/D115,0)</f>
        <v>31.4108091216285</v>
      </c>
    </row>
    <row r="116" customFormat="false" ht="15" hidden="false" customHeight="false" outlineLevel="0" collapsed="false">
      <c r="A116" s="23" t="n">
        <f aca="false">Penalty!$B$5+112</f>
        <v>46239</v>
      </c>
      <c r="B116" s="24" t="n">
        <f aca="false">IF(YEAR(A116)&gt;2026,Penalty!$B$16/100,IFERROR(INDEX(Rates!$B$4:$E$15,MATCH(YEAR(A116),Rates!$A$4:$A$15,0),ROUNDUP(MONTH(A116)/3,0))/100,0.03))</f>
        <v>0.07</v>
      </c>
      <c r="C116" s="25" t="n">
        <f aca="false">MAX(0,Penalty!$B$4-SUMIFS(Penalty!$C$10:$C$12,Penalty!$B$10:$B$12,"&lt;"&amp;A116))</f>
        <v>12000</v>
      </c>
      <c r="D116" s="25" t="n">
        <f aca="false">IF(A116&lt;=Penalty!$B$8,C116+F115+IF(A116&gt;Penalty!$B$19,Penalty!$I$5,0)+G115,0)</f>
        <v>13884.0834692818</v>
      </c>
      <c r="E116" s="26" t="n">
        <f aca="false">D116*B116/365</f>
        <v>2.66270093931433</v>
      </c>
      <c r="F116" s="25" t="n">
        <f aca="false">F115+E116*(1-IF(D116&gt;0,(IF(A116&gt;Penalty!$B$19,Penalty!$I$5,0)+G115)/D116,0))</f>
        <v>235.018652177228</v>
      </c>
      <c r="G116" s="25" t="n">
        <f aca="false">G115+E116*IF(D116&gt;0,(IF(A116&gt;Penalty!$B$19,Penalty!$I$5,0)+G115)/D116,0)</f>
        <v>31.7275180439258</v>
      </c>
    </row>
    <row r="117" customFormat="false" ht="15" hidden="false" customHeight="false" outlineLevel="0" collapsed="false">
      <c r="A117" s="23" t="n">
        <f aca="false">Penalty!$B$5+113</f>
        <v>46240</v>
      </c>
      <c r="B117" s="24" t="n">
        <f aca="false">IF(YEAR(A117)&gt;2026,Penalty!$B$16/100,IFERROR(INDEX(Rates!$B$4:$E$15,MATCH(YEAR(A117),Rates!$A$4:$A$15,0),ROUNDUP(MONTH(A117)/3,0))/100,0.03))</f>
        <v>0.07</v>
      </c>
      <c r="C117" s="25" t="n">
        <f aca="false">MAX(0,Penalty!$B$4-SUMIFS(Penalty!$C$10:$C$12,Penalty!$B$10:$B$12,"&lt;"&amp;A117))</f>
        <v>12000</v>
      </c>
      <c r="D117" s="25" t="n">
        <f aca="false">IF(A117&lt;=Penalty!$B$8,C117+F116+IF(A117&gt;Penalty!$B$19,Penalty!$I$5,0)+G116,0)</f>
        <v>13886.7461702212</v>
      </c>
      <c r="E117" s="26" t="n">
        <f aca="false">D117*B117/365</f>
        <v>2.66321159428899</v>
      </c>
      <c r="F117" s="25" t="n">
        <f aca="false">F116+E117*(1-IF(D117&gt;0,(IF(A117&gt;Penalty!$B$19,Penalty!$I$5,0)+G116)/D117,0))</f>
        <v>237.365094110522</v>
      </c>
      <c r="G117" s="25" t="n">
        <f aca="false">G116+E117*IF(D117&gt;0,(IF(A117&gt;Penalty!$B$19,Penalty!$I$5,0)+G116)/D117,0)</f>
        <v>32.0442877049205</v>
      </c>
    </row>
    <row r="118" customFormat="false" ht="15" hidden="false" customHeight="false" outlineLevel="0" collapsed="false">
      <c r="A118" s="23" t="n">
        <f aca="false">Penalty!$B$5+114</f>
        <v>46241</v>
      </c>
      <c r="B118" s="24" t="n">
        <f aca="false">IF(YEAR(A118)&gt;2026,Penalty!$B$16/100,IFERROR(INDEX(Rates!$B$4:$E$15,MATCH(YEAR(A118),Rates!$A$4:$A$15,0),ROUNDUP(MONTH(A118)/3,0))/100,0.03))</f>
        <v>0.07</v>
      </c>
      <c r="C118" s="25" t="n">
        <f aca="false">MAX(0,Penalty!$B$4-SUMIFS(Penalty!$C$10:$C$12,Penalty!$B$10:$B$12,"&lt;"&amp;A118))</f>
        <v>12000</v>
      </c>
      <c r="D118" s="25" t="n">
        <f aca="false">IF(A118&lt;=Penalty!$B$8,C118+F117+IF(A118&gt;Penalty!$B$19,Penalty!$I$5,0)+G117,0)</f>
        <v>13889.4093818154</v>
      </c>
      <c r="E118" s="26" t="n">
        <f aca="false">D118*B118/365</f>
        <v>2.66372234719748</v>
      </c>
      <c r="F118" s="25" t="n">
        <f aca="false">F117+E118*(1-IF(D118&gt;0,(IF(A118&gt;Penalty!$B$19,Penalty!$I$5,0)+G117)/D118,0))</f>
        <v>239.711986046379</v>
      </c>
      <c r="G118" s="25" t="n">
        <f aca="false">G117+E118*IF(D118&gt;0,(IF(A118&gt;Penalty!$B$19,Penalty!$I$5,0)+G117)/D118,0)</f>
        <v>32.3611181162612</v>
      </c>
    </row>
    <row r="119" customFormat="false" ht="15" hidden="false" customHeight="false" outlineLevel="0" collapsed="false">
      <c r="A119" s="23" t="n">
        <f aca="false">Penalty!$B$5+115</f>
        <v>46242</v>
      </c>
      <c r="B119" s="24" t="n">
        <f aca="false">IF(YEAR(A119)&gt;2026,Penalty!$B$16/100,IFERROR(INDEX(Rates!$B$4:$E$15,MATCH(YEAR(A119),Rates!$A$4:$A$15,0),ROUNDUP(MONTH(A119)/3,0))/100,0.03))</f>
        <v>0.07</v>
      </c>
      <c r="C119" s="25" t="n">
        <f aca="false">MAX(0,Penalty!$B$4-SUMIFS(Penalty!$C$10:$C$12,Penalty!$B$10:$B$12,"&lt;"&amp;A119))</f>
        <v>12000</v>
      </c>
      <c r="D119" s="25" t="n">
        <f aca="false">IF(A119&lt;=Penalty!$B$8,C119+F118+IF(A119&gt;Penalty!$B$19,Penalty!$I$5,0)+G118,0)</f>
        <v>13892.0731041626</v>
      </c>
      <c r="E119" s="26" t="n">
        <f aca="false">D119*B119/365</f>
        <v>2.66423319805859</v>
      </c>
      <c r="F119" s="25" t="n">
        <f aca="false">F118+E119*(1-IF(D119&gt;0,(IF(A119&gt;Penalty!$B$19,Penalty!$I$5,0)+G118)/D119,0))</f>
        <v>242.0593280711</v>
      </c>
      <c r="G119" s="25" t="n">
        <f aca="false">G118+E119*IF(D119&gt;0,(IF(A119&gt;Penalty!$B$19,Penalty!$I$5,0)+G118)/D119,0)</f>
        <v>32.6780092895986</v>
      </c>
    </row>
    <row r="120" customFormat="false" ht="15" hidden="false" customHeight="false" outlineLevel="0" collapsed="false">
      <c r="A120" s="23" t="n">
        <f aca="false">Penalty!$B$5+116</f>
        <v>46243</v>
      </c>
      <c r="B120" s="24" t="n">
        <f aca="false">IF(YEAR(A120)&gt;2026,Penalty!$B$16/100,IFERROR(INDEX(Rates!$B$4:$E$15,MATCH(YEAR(A120),Rates!$A$4:$A$15,0),ROUNDUP(MONTH(A120)/3,0))/100,0.03))</f>
        <v>0.07</v>
      </c>
      <c r="C120" s="25" t="n">
        <f aca="false">MAX(0,Penalty!$B$4-SUMIFS(Penalty!$C$10:$C$12,Penalty!$B$10:$B$12,"&lt;"&amp;A120))</f>
        <v>12000</v>
      </c>
      <c r="D120" s="25" t="n">
        <f aca="false">IF(A120&lt;=Penalty!$B$8,C120+F119+IF(A120&gt;Penalty!$B$19,Penalty!$I$5,0)+G119,0)</f>
        <v>13894.7373373607</v>
      </c>
      <c r="E120" s="26" t="n">
        <f aca="false">D120*B120/365</f>
        <v>2.66474414689109</v>
      </c>
      <c r="F120" s="25" t="n">
        <f aca="false">F119+E120*(1-IF(D120&gt;0,(IF(A120&gt;Penalty!$B$19,Penalty!$I$5,0)+G119)/D120,0))</f>
        <v>244.407120271004</v>
      </c>
      <c r="G120" s="25" t="n">
        <f aca="false">G119+E120*IF(D120&gt;0,(IF(A120&gt;Penalty!$B$19,Penalty!$I$5,0)+G119)/D120,0)</f>
        <v>32.9949612365856</v>
      </c>
    </row>
    <row r="121" customFormat="false" ht="15" hidden="false" customHeight="false" outlineLevel="0" collapsed="false">
      <c r="A121" s="23" t="n">
        <f aca="false">Penalty!$B$5+117</f>
        <v>46244</v>
      </c>
      <c r="B121" s="24" t="n">
        <f aca="false">IF(YEAR(A121)&gt;2026,Penalty!$B$16/100,IFERROR(INDEX(Rates!$B$4:$E$15,MATCH(YEAR(A121),Rates!$A$4:$A$15,0),ROUNDUP(MONTH(A121)/3,0))/100,0.03))</f>
        <v>0.07</v>
      </c>
      <c r="C121" s="25" t="n">
        <f aca="false">MAX(0,Penalty!$B$4-SUMIFS(Penalty!$C$10:$C$12,Penalty!$B$10:$B$12,"&lt;"&amp;A121))</f>
        <v>12000</v>
      </c>
      <c r="D121" s="25" t="n">
        <f aca="false">IF(A121&lt;=Penalty!$B$8,C121+F120+IF(A121&gt;Penalty!$B$19,Penalty!$I$5,0)+G120,0)</f>
        <v>13897.4020815076</v>
      </c>
      <c r="E121" s="26" t="n">
        <f aca="false">D121*B121/365</f>
        <v>2.66525519371378</v>
      </c>
      <c r="F121" s="25" t="n">
        <f aca="false">F120+E121*(1-IF(D121&gt;0,(IF(A121&gt;Penalty!$B$19,Penalty!$I$5,0)+G120)/D121,0))</f>
        <v>246.755362732426</v>
      </c>
      <c r="G121" s="25" t="n">
        <f aca="false">G120+E121*IF(D121&gt;0,(IF(A121&gt;Penalty!$B$19,Penalty!$I$5,0)+G120)/D121,0)</f>
        <v>33.3119739688775</v>
      </c>
    </row>
    <row r="122" customFormat="false" ht="15" hidden="false" customHeight="false" outlineLevel="0" collapsed="false">
      <c r="A122" s="23" t="n">
        <f aca="false">Penalty!$B$5+118</f>
        <v>46245</v>
      </c>
      <c r="B122" s="24" t="n">
        <f aca="false">IF(YEAR(A122)&gt;2026,Penalty!$B$16/100,IFERROR(INDEX(Rates!$B$4:$E$15,MATCH(YEAR(A122),Rates!$A$4:$A$15,0),ROUNDUP(MONTH(A122)/3,0))/100,0.03))</f>
        <v>0.07</v>
      </c>
      <c r="C122" s="25" t="n">
        <f aca="false">MAX(0,Penalty!$B$4-SUMIFS(Penalty!$C$10:$C$12,Penalty!$B$10:$B$12,"&lt;"&amp;A122))</f>
        <v>12000</v>
      </c>
      <c r="D122" s="25" t="n">
        <f aca="false">IF(A122&lt;=Penalty!$B$8,C122+F121+IF(A122&gt;Penalty!$B$19,Penalty!$I$5,0)+G121,0)</f>
        <v>13900.0673367013</v>
      </c>
      <c r="E122" s="26" t="n">
        <f aca="false">D122*B122/365</f>
        <v>2.66576633854546</v>
      </c>
      <c r="F122" s="25" t="n">
        <f aca="false">F121+E122*(1-IF(D122&gt;0,(IF(A122&gt;Penalty!$B$19,Penalty!$I$5,0)+G121)/D122,0))</f>
        <v>249.104055541717</v>
      </c>
      <c r="G122" s="25" t="n">
        <f aca="false">G121+E122*IF(D122&gt;0,(IF(A122&gt;Penalty!$B$19,Penalty!$I$5,0)+G121)/D122,0)</f>
        <v>33.6290474981319</v>
      </c>
    </row>
    <row r="123" customFormat="false" ht="15" hidden="false" customHeight="false" outlineLevel="0" collapsed="false">
      <c r="A123" s="23" t="n">
        <f aca="false">Penalty!$B$5+119</f>
        <v>46246</v>
      </c>
      <c r="B123" s="24" t="n">
        <f aca="false">IF(YEAR(A123)&gt;2026,Penalty!$B$16/100,IFERROR(INDEX(Rates!$B$4:$E$15,MATCH(YEAR(A123),Rates!$A$4:$A$15,0),ROUNDUP(MONTH(A123)/3,0))/100,0.03))</f>
        <v>0.07</v>
      </c>
      <c r="C123" s="25" t="n">
        <f aca="false">MAX(0,Penalty!$B$4-SUMIFS(Penalty!$C$10:$C$12,Penalty!$B$10:$B$12,"&lt;"&amp;A123))</f>
        <v>12000</v>
      </c>
      <c r="D123" s="25" t="n">
        <f aca="false">IF(A123&lt;=Penalty!$B$8,C123+F122+IF(A123&gt;Penalty!$B$19,Penalty!$I$5,0)+G122,0)</f>
        <v>13902.7331030398</v>
      </c>
      <c r="E123" s="26" t="n">
        <f aca="false">D123*B123/365</f>
        <v>2.6662775814049</v>
      </c>
      <c r="F123" s="25" t="n">
        <f aca="false">F122+E123*(1-IF(D123&gt;0,(IF(A123&gt;Penalty!$B$19,Penalty!$I$5,0)+G122)/D123,0))</f>
        <v>251.453198785246</v>
      </c>
      <c r="G123" s="25" t="n">
        <f aca="false">G122+E123*IF(D123&gt;0,(IF(A123&gt;Penalty!$B$19,Penalty!$I$5,0)+G122)/D123,0)</f>
        <v>33.9461818360082</v>
      </c>
    </row>
    <row r="124" customFormat="false" ht="15" hidden="false" customHeight="false" outlineLevel="0" collapsed="false">
      <c r="A124" s="23" t="n">
        <f aca="false">Penalty!$B$5+120</f>
        <v>46247</v>
      </c>
      <c r="B124" s="24" t="n">
        <f aca="false">IF(YEAR(A124)&gt;2026,Penalty!$B$16/100,IFERROR(INDEX(Rates!$B$4:$E$15,MATCH(YEAR(A124),Rates!$A$4:$A$15,0),ROUNDUP(MONTH(A124)/3,0))/100,0.03))</f>
        <v>0.07</v>
      </c>
      <c r="C124" s="25" t="n">
        <f aca="false">MAX(0,Penalty!$B$4-SUMIFS(Penalty!$C$10:$C$12,Penalty!$B$10:$B$12,"&lt;"&amp;A124))</f>
        <v>12000</v>
      </c>
      <c r="D124" s="25" t="n">
        <f aca="false">IF(A124&lt;=Penalty!$B$8,C124+F123+IF(A124&gt;Penalty!$B$19,Penalty!$I$5,0)+G123,0)</f>
        <v>13905.3993806213</v>
      </c>
      <c r="E124" s="26" t="n">
        <f aca="false">D124*B124/365</f>
        <v>2.66678892231093</v>
      </c>
      <c r="F124" s="25" t="n">
        <f aca="false">F123+E124*(1-IF(D124&gt;0,(IF(A124&gt;Penalty!$B$19,Penalty!$I$5,0)+G123)/D124,0))</f>
        <v>253.802792549397</v>
      </c>
      <c r="G124" s="25" t="n">
        <f aca="false">G123+E124*IF(D124&gt;0,(IF(A124&gt;Penalty!$B$19,Penalty!$I$5,0)+G123)/D124,0)</f>
        <v>34.2633769941685</v>
      </c>
    </row>
    <row r="125" customFormat="false" ht="15" hidden="false" customHeight="false" outlineLevel="0" collapsed="false">
      <c r="A125" s="23" t="n">
        <f aca="false">Penalty!$B$5+121</f>
        <v>46248</v>
      </c>
      <c r="B125" s="24" t="n">
        <f aca="false">IF(YEAR(A125)&gt;2026,Penalty!$B$16/100,IFERROR(INDEX(Rates!$B$4:$E$15,MATCH(YEAR(A125),Rates!$A$4:$A$15,0),ROUNDUP(MONTH(A125)/3,0))/100,0.03))</f>
        <v>0.07</v>
      </c>
      <c r="C125" s="25" t="n">
        <f aca="false">MAX(0,Penalty!$B$4-SUMIFS(Penalty!$C$10:$C$12,Penalty!$B$10:$B$12,"&lt;"&amp;A125))</f>
        <v>12000</v>
      </c>
      <c r="D125" s="25" t="n">
        <f aca="false">IF(A125&lt;=Penalty!$B$8,C125+F124+IF(A125&gt;Penalty!$B$19,Penalty!$I$5,0)+G124,0)</f>
        <v>13908.0661695436</v>
      </c>
      <c r="E125" s="26" t="n">
        <f aca="false">D125*B125/365</f>
        <v>2.66730036128233</v>
      </c>
      <c r="F125" s="25" t="n">
        <f aca="false">F124+E125*(1-IF(D125&gt;0,(IF(A125&gt;Penalty!$B$19,Penalty!$I$5,0)+G124)/D125,0))</f>
        <v>256.15283692057</v>
      </c>
      <c r="G125" s="25" t="n">
        <f aca="false">G124+E125*IF(D125&gt;0,(IF(A125&gt;Penalty!$B$19,Penalty!$I$5,0)+G124)/D125,0)</f>
        <v>34.580632984277</v>
      </c>
    </row>
    <row r="126" customFormat="false" ht="15" hidden="false" customHeight="false" outlineLevel="0" collapsed="false">
      <c r="A126" s="23" t="n">
        <f aca="false">Penalty!$B$5+122</f>
        <v>46249</v>
      </c>
      <c r="B126" s="24" t="n">
        <f aca="false">IF(YEAR(A126)&gt;2026,Penalty!$B$16/100,IFERROR(INDEX(Rates!$B$4:$E$15,MATCH(YEAR(A126),Rates!$A$4:$A$15,0),ROUNDUP(MONTH(A126)/3,0))/100,0.03))</f>
        <v>0.07</v>
      </c>
      <c r="C126" s="25" t="n">
        <f aca="false">MAX(0,Penalty!$B$4-SUMIFS(Penalty!$C$10:$C$12,Penalty!$B$10:$B$12,"&lt;"&amp;A126))</f>
        <v>12000</v>
      </c>
      <c r="D126" s="25" t="n">
        <f aca="false">IF(A126&lt;=Penalty!$B$8,C126+F125+IF(A126&gt;Penalty!$B$19,Penalty!$I$5,0)+G125,0)</f>
        <v>13910.7334699048</v>
      </c>
      <c r="E126" s="26" t="n">
        <f aca="false">D126*B126/365</f>
        <v>2.66781189833792</v>
      </c>
      <c r="F126" s="25" t="n">
        <f aca="false">F125+E126*(1-IF(D126&gt;0,(IF(A126&gt;Penalty!$B$19,Penalty!$I$5,0)+G125)/D126,0))</f>
        <v>258.503331985185</v>
      </c>
      <c r="G126" s="25" t="n">
        <f aca="false">G125+E126*IF(D126&gt;0,(IF(A126&gt;Penalty!$B$19,Penalty!$I$5,0)+G125)/D126,0)</f>
        <v>34.897949818</v>
      </c>
    </row>
    <row r="127" customFormat="false" ht="15" hidden="false" customHeight="false" outlineLevel="0" collapsed="false">
      <c r="A127" s="23" t="n">
        <f aca="false">Penalty!$B$5+123</f>
        <v>46250</v>
      </c>
      <c r="B127" s="24" t="n">
        <f aca="false">IF(YEAR(A127)&gt;2026,Penalty!$B$16/100,IFERROR(INDEX(Rates!$B$4:$E$15,MATCH(YEAR(A127),Rates!$A$4:$A$15,0),ROUNDUP(MONTH(A127)/3,0))/100,0.03))</f>
        <v>0.07</v>
      </c>
      <c r="C127" s="25" t="n">
        <f aca="false">MAX(0,Penalty!$B$4-SUMIFS(Penalty!$C$10:$C$12,Penalty!$B$10:$B$12,"&lt;"&amp;A127))</f>
        <v>12000</v>
      </c>
      <c r="D127" s="25" t="n">
        <f aca="false">IF(A127&lt;=Penalty!$B$8,C127+F126+IF(A127&gt;Penalty!$B$19,Penalty!$I$5,0)+G126,0)</f>
        <v>13913.4012818032</v>
      </c>
      <c r="E127" s="26" t="n">
        <f aca="false">D127*B127/365</f>
        <v>2.6683235334965</v>
      </c>
      <c r="F127" s="25" t="n">
        <f aca="false">F126+E127*(1-IF(D127&gt;0,(IF(A127&gt;Penalty!$B$19,Penalty!$I$5,0)+G126)/D127,0))</f>
        <v>260.854277829676</v>
      </c>
      <c r="G127" s="25" t="n">
        <f aca="false">G126+E127*IF(D127&gt;0,(IF(A127&gt;Penalty!$B$19,Penalty!$I$5,0)+G126)/D127,0)</f>
        <v>35.2153275070062</v>
      </c>
    </row>
    <row r="128" customFormat="false" ht="15" hidden="false" customHeight="false" outlineLevel="0" collapsed="false">
      <c r="A128" s="23" t="n">
        <f aca="false">Penalty!$B$5+124</f>
        <v>46251</v>
      </c>
      <c r="B128" s="24" t="n">
        <f aca="false">IF(YEAR(A128)&gt;2026,Penalty!$B$16/100,IFERROR(INDEX(Rates!$B$4:$E$15,MATCH(YEAR(A128),Rates!$A$4:$A$15,0),ROUNDUP(MONTH(A128)/3,0))/100,0.03))</f>
        <v>0.07</v>
      </c>
      <c r="C128" s="25" t="n">
        <f aca="false">MAX(0,Penalty!$B$4-SUMIFS(Penalty!$C$10:$C$12,Penalty!$B$10:$B$12,"&lt;"&amp;A128))</f>
        <v>12000</v>
      </c>
      <c r="D128" s="25" t="n">
        <f aca="false">IF(A128&lt;=Penalty!$B$8,C128+F127+IF(A128&gt;Penalty!$B$19,Penalty!$I$5,0)+G127,0)</f>
        <v>13916.0696053367</v>
      </c>
      <c r="E128" s="26" t="n">
        <f aca="false">D128*B128/365</f>
        <v>2.6688352667769</v>
      </c>
      <c r="F128" s="25" t="n">
        <f aca="false">F127+E128*(1-IF(D128&gt;0,(IF(A128&gt;Penalty!$B$19,Penalty!$I$5,0)+G127)/D128,0))</f>
        <v>263.205674540492</v>
      </c>
      <c r="G128" s="25" t="n">
        <f aca="false">G127+E128*IF(D128&gt;0,(IF(A128&gt;Penalty!$B$19,Penalty!$I$5,0)+G127)/D128,0)</f>
        <v>35.5327660629665</v>
      </c>
    </row>
    <row r="129" customFormat="false" ht="15" hidden="false" customHeight="false" outlineLevel="0" collapsed="false">
      <c r="A129" s="23" t="n">
        <f aca="false">Penalty!$B$5+125</f>
        <v>46252</v>
      </c>
      <c r="B129" s="24" t="n">
        <f aca="false">IF(YEAR(A129)&gt;2026,Penalty!$B$16/100,IFERROR(INDEX(Rates!$B$4:$E$15,MATCH(YEAR(A129),Rates!$A$4:$A$15,0),ROUNDUP(MONTH(A129)/3,0))/100,0.03))</f>
        <v>0.07</v>
      </c>
      <c r="C129" s="25" t="n">
        <f aca="false">MAX(0,Penalty!$B$4-SUMIFS(Penalty!$C$10:$C$12,Penalty!$B$10:$B$12,"&lt;"&amp;A129))</f>
        <v>12000</v>
      </c>
      <c r="D129" s="25" t="n">
        <f aca="false">IF(A129&lt;=Penalty!$B$8,C129+F128+IF(A129&gt;Penalty!$B$19,Penalty!$I$5,0)+G128,0)</f>
        <v>13918.7384406035</v>
      </c>
      <c r="E129" s="26" t="n">
        <f aca="false">D129*B129/365</f>
        <v>2.66934709819792</v>
      </c>
      <c r="F129" s="25" t="n">
        <f aca="false">F128+E129*(1-IF(D129&gt;0,(IF(A129&gt;Penalty!$B$19,Penalty!$I$5,0)+G128)/D129,0))</f>
        <v>265.557522204103</v>
      </c>
      <c r="G129" s="25" t="n">
        <f aca="false">G128+E129*IF(D129&gt;0,(IF(A129&gt;Penalty!$B$19,Penalty!$I$5,0)+G128)/D129,0)</f>
        <v>35.8502654975539</v>
      </c>
    </row>
    <row r="130" customFormat="false" ht="15" hidden="false" customHeight="false" outlineLevel="0" collapsed="false">
      <c r="A130" s="23" t="n">
        <f aca="false">Penalty!$B$5+126</f>
        <v>46253</v>
      </c>
      <c r="B130" s="24" t="n">
        <f aca="false">IF(YEAR(A130)&gt;2026,Penalty!$B$16/100,IFERROR(INDEX(Rates!$B$4:$E$15,MATCH(YEAR(A130),Rates!$A$4:$A$15,0),ROUNDUP(MONTH(A130)/3,0))/100,0.03))</f>
        <v>0.07</v>
      </c>
      <c r="C130" s="25" t="n">
        <f aca="false">MAX(0,Penalty!$B$4-SUMIFS(Penalty!$C$10:$C$12,Penalty!$B$10:$B$12,"&lt;"&amp;A130))</f>
        <v>12000</v>
      </c>
      <c r="D130" s="25" t="n">
        <f aca="false">IF(A130&lt;=Penalty!$B$8,C130+F129+IF(A130&gt;Penalty!$B$19,Penalty!$I$5,0)+G129,0)</f>
        <v>13921.4077877017</v>
      </c>
      <c r="E130" s="26" t="n">
        <f aca="false">D130*B130/365</f>
        <v>2.6698590277784</v>
      </c>
      <c r="F130" s="25" t="n">
        <f aca="false">F129+E130*(1-IF(D130&gt;0,(IF(A130&gt;Penalty!$B$19,Penalty!$I$5,0)+G129)/D130,0))</f>
        <v>267.909820906991</v>
      </c>
      <c r="G130" s="25" t="n">
        <f aca="false">G129+E130*IF(D130&gt;0,(IF(A130&gt;Penalty!$B$19,Penalty!$I$5,0)+G129)/D130,0)</f>
        <v>36.1678258224438</v>
      </c>
    </row>
    <row r="131" customFormat="false" ht="15" hidden="false" customHeight="false" outlineLevel="0" collapsed="false">
      <c r="A131" s="23" t="n">
        <f aca="false">Penalty!$B$5+127</f>
        <v>46254</v>
      </c>
      <c r="B131" s="24" t="n">
        <f aca="false">IF(YEAR(A131)&gt;2026,Penalty!$B$16/100,IFERROR(INDEX(Rates!$B$4:$E$15,MATCH(YEAR(A131),Rates!$A$4:$A$15,0),ROUNDUP(MONTH(A131)/3,0))/100,0.03))</f>
        <v>0.07</v>
      </c>
      <c r="C131" s="25" t="n">
        <f aca="false">MAX(0,Penalty!$B$4-SUMIFS(Penalty!$C$10:$C$12,Penalty!$B$10:$B$12,"&lt;"&amp;A131))</f>
        <v>12000</v>
      </c>
      <c r="D131" s="25" t="n">
        <f aca="false">IF(A131&lt;=Penalty!$B$8,C131+F130+IF(A131&gt;Penalty!$B$19,Penalty!$I$5,0)+G130,0)</f>
        <v>13924.0776467294</v>
      </c>
      <c r="E131" s="26" t="n">
        <f aca="false">D131*B131/365</f>
        <v>2.67037105553715</v>
      </c>
      <c r="F131" s="25" t="n">
        <f aca="false">F130+E131*(1-IF(D131&gt;0,(IF(A131&gt;Penalty!$B$19,Penalty!$I$5,0)+G130)/D131,0))</f>
        <v>270.262570735658</v>
      </c>
      <c r="G131" s="25" t="n">
        <f aca="false">G130+E131*IF(D131&gt;0,(IF(A131&gt;Penalty!$B$19,Penalty!$I$5,0)+G130)/D131,0)</f>
        <v>36.4854470493139</v>
      </c>
    </row>
    <row r="132" customFormat="false" ht="15" hidden="false" customHeight="false" outlineLevel="0" collapsed="false">
      <c r="A132" s="23" t="n">
        <f aca="false">Penalty!$B$5+128</f>
        <v>46255</v>
      </c>
      <c r="B132" s="24" t="n">
        <f aca="false">IF(YEAR(A132)&gt;2026,Penalty!$B$16/100,IFERROR(INDEX(Rates!$B$4:$E$15,MATCH(YEAR(A132),Rates!$A$4:$A$15,0),ROUNDUP(MONTH(A132)/3,0))/100,0.03))</f>
        <v>0.07</v>
      </c>
      <c r="C132" s="25" t="n">
        <f aca="false">MAX(0,Penalty!$B$4-SUMIFS(Penalty!$C$10:$C$12,Penalty!$B$10:$B$12,"&lt;"&amp;A132))</f>
        <v>12000</v>
      </c>
      <c r="D132" s="25" t="n">
        <f aca="false">IF(A132&lt;=Penalty!$B$8,C132+F131+IF(A132&gt;Penalty!$B$19,Penalty!$I$5,0)+G131,0)</f>
        <v>13926.748017785</v>
      </c>
      <c r="E132" s="26" t="n">
        <f aca="false">D132*B132/365</f>
        <v>2.67088318149301</v>
      </c>
      <c r="F132" s="25" t="n">
        <f aca="false">F131+E132*(1-IF(D132&gt;0,(IF(A132&gt;Penalty!$B$19,Penalty!$I$5,0)+G131)/D132,0))</f>
        <v>272.615771776621</v>
      </c>
      <c r="G132" s="25" t="n">
        <f aca="false">G131+E132*IF(D132&gt;0,(IF(A132&gt;Penalty!$B$19,Penalty!$I$5,0)+G131)/D132,0)</f>
        <v>36.8031291898439</v>
      </c>
    </row>
    <row r="133" customFormat="false" ht="15" hidden="false" customHeight="false" outlineLevel="0" collapsed="false">
      <c r="A133" s="23" t="n">
        <f aca="false">Penalty!$B$5+129</f>
        <v>46256</v>
      </c>
      <c r="B133" s="24" t="n">
        <f aca="false">IF(YEAR(A133)&gt;2026,Penalty!$B$16/100,IFERROR(INDEX(Rates!$B$4:$E$15,MATCH(YEAR(A133),Rates!$A$4:$A$15,0),ROUNDUP(MONTH(A133)/3,0))/100,0.03))</f>
        <v>0.07</v>
      </c>
      <c r="C133" s="25" t="n">
        <f aca="false">MAX(0,Penalty!$B$4-SUMIFS(Penalty!$C$10:$C$12,Penalty!$B$10:$B$12,"&lt;"&amp;A133))</f>
        <v>12000</v>
      </c>
      <c r="D133" s="25" t="n">
        <f aca="false">IF(A133&lt;=Penalty!$B$8,C133+F132+IF(A133&gt;Penalty!$B$19,Penalty!$I$5,0)+G132,0)</f>
        <v>13929.4189009665</v>
      </c>
      <c r="E133" s="26" t="n">
        <f aca="false">D133*B133/365</f>
        <v>2.6713954056648</v>
      </c>
      <c r="F133" s="25" t="n">
        <f aca="false">F132+E133*(1-IF(D133&gt;0,(IF(A133&gt;Penalty!$B$19,Penalty!$I$5,0)+G132)/D133,0))</f>
        <v>274.969424116414</v>
      </c>
      <c r="G133" s="25" t="n">
        <f aca="false">G132+E133*IF(D133&gt;0,(IF(A133&gt;Penalty!$B$19,Penalty!$I$5,0)+G132)/D133,0)</f>
        <v>37.1208722557159</v>
      </c>
    </row>
    <row r="134" customFormat="false" ht="15" hidden="false" customHeight="false" outlineLevel="0" collapsed="false">
      <c r="A134" s="23" t="n">
        <f aca="false">Penalty!$B$5+130</f>
        <v>46257</v>
      </c>
      <c r="B134" s="24" t="n">
        <f aca="false">IF(YEAR(A134)&gt;2026,Penalty!$B$16/100,IFERROR(INDEX(Rates!$B$4:$E$15,MATCH(YEAR(A134),Rates!$A$4:$A$15,0),ROUNDUP(MONTH(A134)/3,0))/100,0.03))</f>
        <v>0.07</v>
      </c>
      <c r="C134" s="25" t="n">
        <f aca="false">MAX(0,Penalty!$B$4-SUMIFS(Penalty!$C$10:$C$12,Penalty!$B$10:$B$12,"&lt;"&amp;A134))</f>
        <v>12000</v>
      </c>
      <c r="D134" s="25" t="n">
        <f aca="false">IF(A134&lt;=Penalty!$B$8,C134+F133+IF(A134&gt;Penalty!$B$19,Penalty!$I$5,0)+G133,0)</f>
        <v>13932.0902963721</v>
      </c>
      <c r="E134" s="26" t="n">
        <f aca="false">D134*B134/365</f>
        <v>2.67190772807137</v>
      </c>
      <c r="F134" s="25" t="n">
        <f aca="false">F133+E134*(1-IF(D134&gt;0,(IF(A134&gt;Penalty!$B$19,Penalty!$I$5,0)+G133)/D134,0))</f>
        <v>277.323527841587</v>
      </c>
      <c r="G134" s="25" t="n">
        <f aca="false">G133+E134*IF(D134&gt;0,(IF(A134&gt;Penalty!$B$19,Penalty!$I$5,0)+G133)/D134,0)</f>
        <v>37.4386762586143</v>
      </c>
    </row>
    <row r="135" customFormat="false" ht="15" hidden="false" customHeight="false" outlineLevel="0" collapsed="false">
      <c r="A135" s="23" t="n">
        <f aca="false">Penalty!$B$5+131</f>
        <v>46258</v>
      </c>
      <c r="B135" s="24" t="n">
        <f aca="false">IF(YEAR(A135)&gt;2026,Penalty!$B$16/100,IFERROR(INDEX(Rates!$B$4:$E$15,MATCH(YEAR(A135),Rates!$A$4:$A$15,0),ROUNDUP(MONTH(A135)/3,0))/100,0.03))</f>
        <v>0.07</v>
      </c>
      <c r="C135" s="25" t="n">
        <f aca="false">MAX(0,Penalty!$B$4-SUMIFS(Penalty!$C$10:$C$12,Penalty!$B$10:$B$12,"&lt;"&amp;A135))</f>
        <v>12000</v>
      </c>
      <c r="D135" s="25" t="n">
        <f aca="false">IF(A135&lt;=Penalty!$B$8,C135+F134+IF(A135&gt;Penalty!$B$19,Penalty!$I$5,0)+G134,0)</f>
        <v>13934.7622041002</v>
      </c>
      <c r="E135" s="26" t="n">
        <f aca="false">D135*B135/365</f>
        <v>2.67242014873155</v>
      </c>
      <c r="F135" s="25" t="n">
        <f aca="false">F134+E135*(1-IF(D135&gt;0,(IF(A135&gt;Penalty!$B$19,Penalty!$I$5,0)+G134)/D135,0))</f>
        <v>279.678083038707</v>
      </c>
      <c r="G135" s="25" t="n">
        <f aca="false">G134+E135*IF(D135&gt;0,(IF(A135&gt;Penalty!$B$19,Penalty!$I$5,0)+G134)/D135,0)</f>
        <v>37.7565412102255</v>
      </c>
    </row>
    <row r="136" customFormat="false" ht="15" hidden="false" customHeight="false" outlineLevel="0" collapsed="false">
      <c r="A136" s="23" t="n">
        <f aca="false">Penalty!$B$5+132</f>
        <v>46259</v>
      </c>
      <c r="B136" s="24" t="n">
        <f aca="false">IF(YEAR(A136)&gt;2026,Penalty!$B$16/100,IFERROR(INDEX(Rates!$B$4:$E$15,MATCH(YEAR(A136),Rates!$A$4:$A$15,0),ROUNDUP(MONTH(A136)/3,0))/100,0.03))</f>
        <v>0.07</v>
      </c>
      <c r="C136" s="25" t="n">
        <f aca="false">MAX(0,Penalty!$B$4-SUMIFS(Penalty!$C$10:$C$12,Penalty!$B$10:$B$12,"&lt;"&amp;A136))</f>
        <v>12000</v>
      </c>
      <c r="D136" s="25" t="n">
        <f aca="false">IF(A136&lt;=Penalty!$B$8,C136+F135+IF(A136&gt;Penalty!$B$19,Penalty!$I$5,0)+G135,0)</f>
        <v>13937.4346242489</v>
      </c>
      <c r="E136" s="26" t="n">
        <f aca="false">D136*B136/365</f>
        <v>2.67293266766418</v>
      </c>
      <c r="F136" s="25" t="n">
        <f aca="false">F135+E136*(1-IF(D136&gt;0,(IF(A136&gt;Penalty!$B$19,Penalty!$I$5,0)+G135)/D136,0))</f>
        <v>282.033089794359</v>
      </c>
      <c r="G136" s="25" t="n">
        <f aca="false">G135+E136*IF(D136&gt;0,(IF(A136&gt;Penalty!$B$19,Penalty!$I$5,0)+G135)/D136,0)</f>
        <v>38.0744671222384</v>
      </c>
    </row>
    <row r="137" customFormat="false" ht="15" hidden="false" customHeight="false" outlineLevel="0" collapsed="false">
      <c r="A137" s="23" t="n">
        <f aca="false">Penalty!$B$5+133</f>
        <v>46260</v>
      </c>
      <c r="B137" s="24" t="n">
        <f aca="false">IF(YEAR(A137)&gt;2026,Penalty!$B$16/100,IFERROR(INDEX(Rates!$B$4:$E$15,MATCH(YEAR(A137),Rates!$A$4:$A$15,0),ROUNDUP(MONTH(A137)/3,0))/100,0.03))</f>
        <v>0.07</v>
      </c>
      <c r="C137" s="25" t="n">
        <f aca="false">MAX(0,Penalty!$B$4-SUMIFS(Penalty!$C$10:$C$12,Penalty!$B$10:$B$12,"&lt;"&amp;A137))</f>
        <v>12000</v>
      </c>
      <c r="D137" s="25" t="n">
        <f aca="false">IF(A137&lt;=Penalty!$B$8,C137+F136+IF(A137&gt;Penalty!$B$19,Penalty!$I$5,0)+G136,0)</f>
        <v>13940.1075569166</v>
      </c>
      <c r="E137" s="26" t="n">
        <f aca="false">D137*B137/365</f>
        <v>2.67344528488812</v>
      </c>
      <c r="F137" s="25" t="n">
        <f aca="false">F136+E137*(1-IF(D137&gt;0,(IF(A137&gt;Penalty!$B$19,Penalty!$I$5,0)+G136)/D137,0))</f>
        <v>284.388548195141</v>
      </c>
      <c r="G137" s="25" t="n">
        <f aca="false">G136+E137*IF(D137&gt;0,(IF(A137&gt;Penalty!$B$19,Penalty!$I$5,0)+G136)/D137,0)</f>
        <v>38.3924540063441</v>
      </c>
    </row>
    <row r="138" customFormat="false" ht="15" hidden="false" customHeight="false" outlineLevel="0" collapsed="false">
      <c r="A138" s="23" t="n">
        <f aca="false">Penalty!$B$5+134</f>
        <v>46261</v>
      </c>
      <c r="B138" s="24" t="n">
        <f aca="false">IF(YEAR(A138)&gt;2026,Penalty!$B$16/100,IFERROR(INDEX(Rates!$B$4:$E$15,MATCH(YEAR(A138),Rates!$A$4:$A$15,0),ROUNDUP(MONTH(A138)/3,0))/100,0.03))</f>
        <v>0.07</v>
      </c>
      <c r="C138" s="25" t="n">
        <f aca="false">MAX(0,Penalty!$B$4-SUMIFS(Penalty!$C$10:$C$12,Penalty!$B$10:$B$12,"&lt;"&amp;A138))</f>
        <v>12000</v>
      </c>
      <c r="D138" s="25" t="n">
        <f aca="false">IF(A138&lt;=Penalty!$B$8,C138+F137+IF(A138&gt;Penalty!$B$19,Penalty!$I$5,0)+G137,0)</f>
        <v>13942.7810022015</v>
      </c>
      <c r="E138" s="26" t="n">
        <f aca="false">D138*B138/365</f>
        <v>2.6739580004222</v>
      </c>
      <c r="F138" s="25" t="n">
        <f aca="false">F137+E138*(1-IF(D138&gt;0,(IF(A138&gt;Penalty!$B$19,Penalty!$I$5,0)+G137)/D138,0))</f>
        <v>286.744458327672</v>
      </c>
      <c r="G138" s="25" t="n">
        <f aca="false">G137+E138*IF(D138&gt;0,(IF(A138&gt;Penalty!$B$19,Penalty!$I$5,0)+G137)/D138,0)</f>
        <v>38.7105018742357</v>
      </c>
    </row>
    <row r="139" customFormat="false" ht="15" hidden="false" customHeight="false" outlineLevel="0" collapsed="false">
      <c r="A139" s="23" t="n">
        <f aca="false">Penalty!$B$5+135</f>
        <v>46262</v>
      </c>
      <c r="B139" s="24" t="n">
        <f aca="false">IF(YEAR(A139)&gt;2026,Penalty!$B$16/100,IFERROR(INDEX(Rates!$B$4:$E$15,MATCH(YEAR(A139),Rates!$A$4:$A$15,0),ROUNDUP(MONTH(A139)/3,0))/100,0.03))</f>
        <v>0.07</v>
      </c>
      <c r="C139" s="25" t="n">
        <f aca="false">MAX(0,Penalty!$B$4-SUMIFS(Penalty!$C$10:$C$12,Penalty!$B$10:$B$12,"&lt;"&amp;A139))</f>
        <v>12000</v>
      </c>
      <c r="D139" s="25" t="n">
        <f aca="false">IF(A139&lt;=Penalty!$B$8,C139+F138+IF(A139&gt;Penalty!$B$19,Penalty!$I$5,0)+G138,0)</f>
        <v>13945.4549602019</v>
      </c>
      <c r="E139" s="26" t="n">
        <f aca="false">D139*B139/365</f>
        <v>2.6744708142853</v>
      </c>
      <c r="F139" s="25" t="n">
        <f aca="false">F138+E139*(1-IF(D139&gt;0,(IF(A139&gt;Penalty!$B$19,Penalty!$I$5,0)+G138)/D139,0))</f>
        <v>289.100820278584</v>
      </c>
      <c r="G139" s="25" t="n">
        <f aca="false">G138+E139*IF(D139&gt;0,(IF(A139&gt;Penalty!$B$19,Penalty!$I$5,0)+G138)/D139,0)</f>
        <v>39.0286107376088</v>
      </c>
    </row>
    <row r="140" customFormat="false" ht="15" hidden="false" customHeight="false" outlineLevel="0" collapsed="false">
      <c r="A140" s="23" t="n">
        <f aca="false">Penalty!$B$5+136</f>
        <v>46263</v>
      </c>
      <c r="B140" s="24" t="n">
        <f aca="false">IF(YEAR(A140)&gt;2026,Penalty!$B$16/100,IFERROR(INDEX(Rates!$B$4:$E$15,MATCH(YEAR(A140),Rates!$A$4:$A$15,0),ROUNDUP(MONTH(A140)/3,0))/100,0.03))</f>
        <v>0.07</v>
      </c>
      <c r="C140" s="25" t="n">
        <f aca="false">MAX(0,Penalty!$B$4-SUMIFS(Penalty!$C$10:$C$12,Penalty!$B$10:$B$12,"&lt;"&amp;A140))</f>
        <v>12000</v>
      </c>
      <c r="D140" s="25" t="n">
        <f aca="false">IF(A140&lt;=Penalty!$B$8,C140+F139+IF(A140&gt;Penalty!$B$19,Penalty!$I$5,0)+G139,0)</f>
        <v>13948.1294310162</v>
      </c>
      <c r="E140" s="26" t="n">
        <f aca="false">D140*B140/365</f>
        <v>2.67498372649626</v>
      </c>
      <c r="F140" s="25" t="n">
        <f aca="false">F139+E140*(1-IF(D140&gt;0,(IF(A140&gt;Penalty!$B$19,Penalty!$I$5,0)+G139)/D140,0))</f>
        <v>291.457634134528</v>
      </c>
      <c r="G140" s="25" t="n">
        <f aca="false">G139+E140*IF(D140&gt;0,(IF(A140&gt;Penalty!$B$19,Penalty!$I$5,0)+G139)/D140,0)</f>
        <v>39.3467806081613</v>
      </c>
    </row>
    <row r="141" customFormat="false" ht="15" hidden="false" customHeight="false" outlineLevel="0" collapsed="false">
      <c r="A141" s="23" t="n">
        <f aca="false">Penalty!$B$5+137</f>
        <v>46264</v>
      </c>
      <c r="B141" s="24" t="n">
        <f aca="false">IF(YEAR(A141)&gt;2026,Penalty!$B$16/100,IFERROR(INDEX(Rates!$B$4:$E$15,MATCH(YEAR(A141),Rates!$A$4:$A$15,0),ROUNDUP(MONTH(A141)/3,0))/100,0.03))</f>
        <v>0.07</v>
      </c>
      <c r="C141" s="25" t="n">
        <f aca="false">MAX(0,Penalty!$B$4-SUMIFS(Penalty!$C$10:$C$12,Penalty!$B$10:$B$12,"&lt;"&amp;A141))</f>
        <v>12000</v>
      </c>
      <c r="D141" s="25" t="n">
        <f aca="false">IF(A141&lt;=Penalty!$B$8,C141+F140+IF(A141&gt;Penalty!$B$19,Penalty!$I$5,0)+G140,0)</f>
        <v>13950.8044147427</v>
      </c>
      <c r="E141" s="26" t="n">
        <f aca="false">D141*B141/365</f>
        <v>2.67549673707394</v>
      </c>
      <c r="F141" s="25" t="n">
        <f aca="false">F140+E141*(1-IF(D141&gt;0,(IF(A141&gt;Penalty!$B$19,Penalty!$I$5,0)+G140)/D141,0))</f>
        <v>293.81489998217</v>
      </c>
      <c r="G141" s="25" t="n">
        <f aca="false">G140+E141*IF(D141&gt;0,(IF(A141&gt;Penalty!$B$19,Penalty!$I$5,0)+G140)/D141,0)</f>
        <v>39.665011497593</v>
      </c>
    </row>
    <row r="142" customFormat="false" ht="15" hidden="false" customHeight="false" outlineLevel="0" collapsed="false">
      <c r="A142" s="23" t="n">
        <f aca="false">Penalty!$B$5+138</f>
        <v>46265</v>
      </c>
      <c r="B142" s="24" t="n">
        <f aca="false">IF(YEAR(A142)&gt;2026,Penalty!$B$16/100,IFERROR(INDEX(Rates!$B$4:$E$15,MATCH(YEAR(A142),Rates!$A$4:$A$15,0),ROUNDUP(MONTH(A142)/3,0))/100,0.03))</f>
        <v>0.07</v>
      </c>
      <c r="C142" s="25" t="n">
        <f aca="false">MAX(0,Penalty!$B$4-SUMIFS(Penalty!$C$10:$C$12,Penalty!$B$10:$B$12,"&lt;"&amp;A142))</f>
        <v>12000</v>
      </c>
      <c r="D142" s="25" t="n">
        <f aca="false">IF(A142&lt;=Penalty!$B$8,C142+F141+IF(A142&gt;Penalty!$B$19,Penalty!$I$5,0)+G141,0)</f>
        <v>13953.4799114798</v>
      </c>
      <c r="E142" s="26" t="n">
        <f aca="false">D142*B142/365</f>
        <v>2.67600984603722</v>
      </c>
      <c r="F142" s="25" t="n">
        <f aca="false">F141+E142*(1-IF(D142&gt;0,(IF(A142&gt;Penalty!$B$19,Penalty!$I$5,0)+G141)/D142,0))</f>
        <v>296.172617908194</v>
      </c>
      <c r="G142" s="25" t="n">
        <f aca="false">G141+E142*IF(D142&gt;0,(IF(A142&gt;Penalty!$B$19,Penalty!$I$5,0)+G141)/D142,0)</f>
        <v>39.9833034176062</v>
      </c>
    </row>
    <row r="143" customFormat="false" ht="15" hidden="false" customHeight="false" outlineLevel="0" collapsed="false">
      <c r="A143" s="23" t="n">
        <f aca="false">Penalty!$B$5+139</f>
        <v>46266</v>
      </c>
      <c r="B143" s="24" t="n">
        <f aca="false">IF(YEAR(A143)&gt;2026,Penalty!$B$16/100,IFERROR(INDEX(Rates!$B$4:$E$15,MATCH(YEAR(A143),Rates!$A$4:$A$15,0),ROUNDUP(MONTH(A143)/3,0))/100,0.03))</f>
        <v>0.07</v>
      </c>
      <c r="C143" s="25" t="n">
        <f aca="false">MAX(0,Penalty!$B$4-SUMIFS(Penalty!$C$10:$C$12,Penalty!$B$10:$B$12,"&lt;"&amp;A143))</f>
        <v>12000</v>
      </c>
      <c r="D143" s="25" t="n">
        <f aca="false">IF(A143&lt;=Penalty!$B$8,C143+F142+IF(A143&gt;Penalty!$B$19,Penalty!$I$5,0)+G142,0)</f>
        <v>13956.1559213258</v>
      </c>
      <c r="E143" s="26" t="n">
        <f aca="false">D143*B143/365</f>
        <v>2.67652305340495</v>
      </c>
      <c r="F143" s="25" t="n">
        <f aca="false">F142+E143*(1-IF(D143&gt;0,(IF(A143&gt;Penalty!$B$19,Penalty!$I$5,0)+G142)/D143,0))</f>
        <v>298.5307879993</v>
      </c>
      <c r="G143" s="25" t="n">
        <f aca="false">G142+E143*IF(D143&gt;0,(IF(A143&gt;Penalty!$B$19,Penalty!$I$5,0)+G142)/D143,0)</f>
        <v>40.3016563799055</v>
      </c>
    </row>
    <row r="144" customFormat="false" ht="15" hidden="false" customHeight="false" outlineLevel="0" collapsed="false">
      <c r="A144" s="23" t="n">
        <f aca="false">Penalty!$B$5+140</f>
        <v>46267</v>
      </c>
      <c r="B144" s="24" t="n">
        <f aca="false">IF(YEAR(A144)&gt;2026,Penalty!$B$16/100,IFERROR(INDEX(Rates!$B$4:$E$15,MATCH(YEAR(A144),Rates!$A$4:$A$15,0),ROUNDUP(MONTH(A144)/3,0))/100,0.03))</f>
        <v>0.07</v>
      </c>
      <c r="C144" s="25" t="n">
        <f aca="false">MAX(0,Penalty!$B$4-SUMIFS(Penalty!$C$10:$C$12,Penalty!$B$10:$B$12,"&lt;"&amp;A144))</f>
        <v>12000</v>
      </c>
      <c r="D144" s="25" t="n">
        <f aca="false">IF(A144&lt;=Penalty!$B$8,C144+F143+IF(A144&gt;Penalty!$B$19,Penalty!$I$5,0)+G143,0)</f>
        <v>13958.8324443792</v>
      </c>
      <c r="E144" s="26" t="n">
        <f aca="false">D144*B144/365</f>
        <v>2.67703635919601</v>
      </c>
      <c r="F144" s="25" t="n">
        <f aca="false">F143+E144*(1-IF(D144&gt;0,(IF(A144&gt;Penalty!$B$19,Penalty!$I$5,0)+G143)/D144,0))</f>
        <v>300.889410342204</v>
      </c>
      <c r="G144" s="25" t="n">
        <f aca="false">G143+E144*IF(D144&gt;0,(IF(A144&gt;Penalty!$B$19,Penalty!$I$5,0)+G143)/D144,0)</f>
        <v>40.6200703961975</v>
      </c>
    </row>
    <row r="145" customFormat="false" ht="15" hidden="false" customHeight="false" outlineLevel="0" collapsed="false">
      <c r="A145" s="23" t="n">
        <f aca="false">Penalty!$B$5+141</f>
        <v>46268</v>
      </c>
      <c r="B145" s="24" t="n">
        <f aca="false">IF(YEAR(A145)&gt;2026,Penalty!$B$16/100,IFERROR(INDEX(Rates!$B$4:$E$15,MATCH(YEAR(A145),Rates!$A$4:$A$15,0),ROUNDUP(MONTH(A145)/3,0))/100,0.03))</f>
        <v>0.07</v>
      </c>
      <c r="C145" s="25" t="n">
        <f aca="false">MAX(0,Penalty!$B$4-SUMIFS(Penalty!$C$10:$C$12,Penalty!$B$10:$B$12,"&lt;"&amp;A145))</f>
        <v>12000</v>
      </c>
      <c r="D145" s="25" t="n">
        <f aca="false">IF(A145&lt;=Penalty!$B$8,C145+F144+IF(A145&gt;Penalty!$B$19,Penalty!$I$5,0)+G144,0)</f>
        <v>13961.5094807384</v>
      </c>
      <c r="E145" s="26" t="n">
        <f aca="false">D145*B145/365</f>
        <v>2.67754976342928</v>
      </c>
      <c r="F145" s="25" t="n">
        <f aca="false">F144+E145*(1-IF(D145&gt;0,(IF(A145&gt;Penalty!$B$19,Penalty!$I$5,0)+G144)/D145,0))</f>
        <v>303.248485023639</v>
      </c>
      <c r="G145" s="25" t="n">
        <f aca="false">G144+E145*IF(D145&gt;0,(IF(A145&gt;Penalty!$B$19,Penalty!$I$5,0)+G144)/D145,0)</f>
        <v>40.9385454781913</v>
      </c>
    </row>
    <row r="146" customFormat="false" ht="15" hidden="false" customHeight="false" outlineLevel="0" collapsed="false">
      <c r="A146" s="23" t="n">
        <f aca="false">Penalty!$B$5+142</f>
        <v>46269</v>
      </c>
      <c r="B146" s="24" t="n">
        <f aca="false">IF(YEAR(A146)&gt;2026,Penalty!$B$16/100,IFERROR(INDEX(Rates!$B$4:$E$15,MATCH(YEAR(A146),Rates!$A$4:$A$15,0),ROUNDUP(MONTH(A146)/3,0))/100,0.03))</f>
        <v>0.07</v>
      </c>
      <c r="C146" s="25" t="n">
        <f aca="false">MAX(0,Penalty!$B$4-SUMIFS(Penalty!$C$10:$C$12,Penalty!$B$10:$B$12,"&lt;"&amp;A146))</f>
        <v>12000</v>
      </c>
      <c r="D146" s="25" t="n">
        <f aca="false">IF(A146&lt;=Penalty!$B$8,C146+F145+IF(A146&gt;Penalty!$B$19,Penalty!$I$5,0)+G145,0)</f>
        <v>13964.1870305018</v>
      </c>
      <c r="E146" s="26" t="n">
        <f aca="false">D146*B146/365</f>
        <v>2.67806326612364</v>
      </c>
      <c r="F146" s="25" t="n">
        <f aca="false">F145+E146*(1-IF(D146&gt;0,(IF(A146&gt;Penalty!$B$19,Penalty!$I$5,0)+G145)/D146,0))</f>
        <v>305.608012130356</v>
      </c>
      <c r="G146" s="25" t="n">
        <f aca="false">G145+E146*IF(D146&gt;0,(IF(A146&gt;Penalty!$B$19,Penalty!$I$5,0)+G145)/D146,0)</f>
        <v>41.2570816375981</v>
      </c>
    </row>
    <row r="147" customFormat="false" ht="15" hidden="false" customHeight="false" outlineLevel="0" collapsed="false">
      <c r="A147" s="23" t="n">
        <f aca="false">Penalty!$B$5+143</f>
        <v>46270</v>
      </c>
      <c r="B147" s="24" t="n">
        <f aca="false">IF(YEAR(A147)&gt;2026,Penalty!$B$16/100,IFERROR(INDEX(Rates!$B$4:$E$15,MATCH(YEAR(A147),Rates!$A$4:$A$15,0),ROUNDUP(MONTH(A147)/3,0))/100,0.03))</f>
        <v>0.07</v>
      </c>
      <c r="C147" s="25" t="n">
        <f aca="false">MAX(0,Penalty!$B$4-SUMIFS(Penalty!$C$10:$C$12,Penalty!$B$10:$B$12,"&lt;"&amp;A147))</f>
        <v>12000</v>
      </c>
      <c r="D147" s="25" t="n">
        <f aca="false">IF(A147&lt;=Penalty!$B$8,C147+F146+IF(A147&gt;Penalty!$B$19,Penalty!$I$5,0)+G146,0)</f>
        <v>13966.865093768</v>
      </c>
      <c r="E147" s="26" t="n">
        <f aca="false">D147*B147/365</f>
        <v>2.67857686729796</v>
      </c>
      <c r="F147" s="25" t="n">
        <f aca="false">F146+E147*(1-IF(D147&gt;0,(IF(A147&gt;Penalty!$B$19,Penalty!$I$5,0)+G146)/D147,0))</f>
        <v>307.967991749121</v>
      </c>
      <c r="G147" s="25" t="n">
        <f aca="false">G146+E147*IF(D147&gt;0,(IF(A147&gt;Penalty!$B$19,Penalty!$I$5,0)+G146)/D147,0)</f>
        <v>41.5756788861313</v>
      </c>
    </row>
    <row r="148" customFormat="false" ht="15" hidden="false" customHeight="false" outlineLevel="0" collapsed="false">
      <c r="A148" s="23" t="n">
        <f aca="false">Penalty!$B$5+144</f>
        <v>46271</v>
      </c>
      <c r="B148" s="24" t="n">
        <f aca="false">IF(YEAR(A148)&gt;2026,Penalty!$B$16/100,IFERROR(INDEX(Rates!$B$4:$E$15,MATCH(YEAR(A148),Rates!$A$4:$A$15,0),ROUNDUP(MONTH(A148)/3,0))/100,0.03))</f>
        <v>0.07</v>
      </c>
      <c r="C148" s="25" t="n">
        <f aca="false">MAX(0,Penalty!$B$4-SUMIFS(Penalty!$C$10:$C$12,Penalty!$B$10:$B$12,"&lt;"&amp;A148))</f>
        <v>12000</v>
      </c>
      <c r="D148" s="25" t="n">
        <f aca="false">IF(A148&lt;=Penalty!$B$8,C148+F147+IF(A148&gt;Penalty!$B$19,Penalty!$I$5,0)+G147,0)</f>
        <v>13969.5436706353</v>
      </c>
      <c r="E148" s="26" t="n">
        <f aca="false">D148*B148/365</f>
        <v>2.67909056697114</v>
      </c>
      <c r="F148" s="25" t="n">
        <f aca="false">F147+E148*(1-IF(D148&gt;0,(IF(A148&gt;Penalty!$B$19,Penalty!$I$5,0)+G147)/D148,0))</f>
        <v>310.328423966716</v>
      </c>
      <c r="G148" s="25" t="n">
        <f aca="false">G147+E148*IF(D148&gt;0,(IF(A148&gt;Penalty!$B$19,Penalty!$I$5,0)+G147)/D148,0)</f>
        <v>41.8943372355067</v>
      </c>
    </row>
    <row r="149" customFormat="false" ht="15" hidden="false" customHeight="false" outlineLevel="0" collapsed="false">
      <c r="A149" s="23" t="n">
        <f aca="false">Penalty!$B$5+145</f>
        <v>46272</v>
      </c>
      <c r="B149" s="24" t="n">
        <f aca="false">IF(YEAR(A149)&gt;2026,Penalty!$B$16/100,IFERROR(INDEX(Rates!$B$4:$E$15,MATCH(YEAR(A149),Rates!$A$4:$A$15,0),ROUNDUP(MONTH(A149)/3,0))/100,0.03))</f>
        <v>0.07</v>
      </c>
      <c r="C149" s="25" t="n">
        <f aca="false">MAX(0,Penalty!$B$4-SUMIFS(Penalty!$C$10:$C$12,Penalty!$B$10:$B$12,"&lt;"&amp;A149))</f>
        <v>12000</v>
      </c>
      <c r="D149" s="25" t="n">
        <f aca="false">IF(A149&lt;=Penalty!$B$8,C149+F148+IF(A149&gt;Penalty!$B$19,Penalty!$I$5,0)+G148,0)</f>
        <v>13972.2227612022</v>
      </c>
      <c r="E149" s="26" t="n">
        <f aca="false">D149*B149/365</f>
        <v>2.67960436516207</v>
      </c>
      <c r="F149" s="25" t="n">
        <f aca="false">F148+E149*(1-IF(D149&gt;0,(IF(A149&gt;Penalty!$B$19,Penalty!$I$5,0)+G148)/D149,0))</f>
        <v>312.689308869943</v>
      </c>
      <c r="G149" s="25" t="n">
        <f aca="false">G148+E149*IF(D149&gt;0,(IF(A149&gt;Penalty!$B$19,Penalty!$I$5,0)+G148)/D149,0)</f>
        <v>42.2130566974423</v>
      </c>
    </row>
    <row r="150" customFormat="false" ht="15" hidden="false" customHeight="false" outlineLevel="0" collapsed="false">
      <c r="A150" s="23" t="n">
        <f aca="false">Penalty!$B$5+146</f>
        <v>46273</v>
      </c>
      <c r="B150" s="24" t="n">
        <f aca="false">IF(YEAR(A150)&gt;2026,Penalty!$B$16/100,IFERROR(INDEX(Rates!$B$4:$E$15,MATCH(YEAR(A150),Rates!$A$4:$A$15,0),ROUNDUP(MONTH(A150)/3,0))/100,0.03))</f>
        <v>0.07</v>
      </c>
      <c r="C150" s="25" t="n">
        <f aca="false">MAX(0,Penalty!$B$4-SUMIFS(Penalty!$C$10:$C$12,Penalty!$B$10:$B$12,"&lt;"&amp;A150))</f>
        <v>12000</v>
      </c>
      <c r="D150" s="25" t="n">
        <f aca="false">IF(A150&lt;=Penalty!$B$8,C150+F149+IF(A150&gt;Penalty!$B$19,Penalty!$I$5,0)+G149,0)</f>
        <v>13974.9023655674</v>
      </c>
      <c r="E150" s="26" t="n">
        <f aca="false">D150*B150/365</f>
        <v>2.68011826188964</v>
      </c>
      <c r="F150" s="25" t="n">
        <f aca="false">F149+E150*(1-IF(D150&gt;0,(IF(A150&gt;Penalty!$B$19,Penalty!$I$5,0)+G149)/D150,0))</f>
        <v>315.050646545617</v>
      </c>
      <c r="G150" s="25" t="n">
        <f aca="false">G149+E150*IF(D150&gt;0,(IF(A150&gt;Penalty!$B$19,Penalty!$I$5,0)+G149)/D150,0)</f>
        <v>42.5318372836583</v>
      </c>
    </row>
    <row r="151" customFormat="false" ht="15" hidden="false" customHeight="false" outlineLevel="0" collapsed="false">
      <c r="A151" s="23" t="n">
        <f aca="false">Penalty!$B$5+147</f>
        <v>46274</v>
      </c>
      <c r="B151" s="24" t="n">
        <f aca="false">IF(YEAR(A151)&gt;2026,Penalty!$B$16/100,IFERROR(INDEX(Rates!$B$4:$E$15,MATCH(YEAR(A151),Rates!$A$4:$A$15,0),ROUNDUP(MONTH(A151)/3,0))/100,0.03))</f>
        <v>0.07</v>
      </c>
      <c r="C151" s="25" t="n">
        <f aca="false">MAX(0,Penalty!$B$4-SUMIFS(Penalty!$C$10:$C$12,Penalty!$B$10:$B$12,"&lt;"&amp;A151))</f>
        <v>12000</v>
      </c>
      <c r="D151" s="25" t="n">
        <f aca="false">IF(A151&lt;=Penalty!$B$8,C151+F150+IF(A151&gt;Penalty!$B$19,Penalty!$I$5,0)+G150,0)</f>
        <v>13977.5824838293</v>
      </c>
      <c r="E151" s="26" t="n">
        <f aca="false">D151*B151/365</f>
        <v>2.68063225717274</v>
      </c>
      <c r="F151" s="25" t="n">
        <f aca="false">F150+E151*(1-IF(D151&gt;0,(IF(A151&gt;Penalty!$B$19,Penalty!$I$5,0)+G150)/D151,0))</f>
        <v>317.412437080571</v>
      </c>
      <c r="G151" s="25" t="n">
        <f aca="false">G150+E151*IF(D151&gt;0,(IF(A151&gt;Penalty!$B$19,Penalty!$I$5,0)+G150)/D151,0)</f>
        <v>42.850679005877</v>
      </c>
    </row>
    <row r="152" customFormat="false" ht="15" hidden="false" customHeight="false" outlineLevel="0" collapsed="false">
      <c r="A152" s="23" t="n">
        <f aca="false">Penalty!$B$5+148</f>
        <v>46275</v>
      </c>
      <c r="B152" s="24" t="n">
        <f aca="false">IF(YEAR(A152)&gt;2026,Penalty!$B$16/100,IFERROR(INDEX(Rates!$B$4:$E$15,MATCH(YEAR(A152),Rates!$A$4:$A$15,0),ROUNDUP(MONTH(A152)/3,0))/100,0.03))</f>
        <v>0.07</v>
      </c>
      <c r="C152" s="25" t="n">
        <f aca="false">MAX(0,Penalty!$B$4-SUMIFS(Penalty!$C$10:$C$12,Penalty!$B$10:$B$12,"&lt;"&amp;A152))</f>
        <v>12000</v>
      </c>
      <c r="D152" s="25" t="n">
        <f aca="false">IF(A152&lt;=Penalty!$B$8,C152+F151+IF(A152&gt;Penalty!$B$19,Penalty!$I$5,0)+G151,0)</f>
        <v>13980.2631160864</v>
      </c>
      <c r="E152" s="26" t="n">
        <f aca="false">D152*B152/365</f>
        <v>2.68114635103028</v>
      </c>
      <c r="F152" s="25" t="n">
        <f aca="false">F151+E152*(1-IF(D152&gt;0,(IF(A152&gt;Penalty!$B$19,Penalty!$I$5,0)+G151)/D152,0))</f>
        <v>319.774680561655</v>
      </c>
      <c r="G152" s="25" t="n">
        <f aca="false">G151+E152*IF(D152&gt;0,(IF(A152&gt;Penalty!$B$19,Penalty!$I$5,0)+G151)/D152,0)</f>
        <v>43.1695818758234</v>
      </c>
    </row>
    <row r="153" customFormat="false" ht="15" hidden="false" customHeight="false" outlineLevel="0" collapsed="false">
      <c r="A153" s="23" t="n">
        <f aca="false">Penalty!$B$5+149</f>
        <v>46276</v>
      </c>
      <c r="B153" s="24" t="n">
        <f aca="false">IF(YEAR(A153)&gt;2026,Penalty!$B$16/100,IFERROR(INDEX(Rates!$B$4:$E$15,MATCH(YEAR(A153),Rates!$A$4:$A$15,0),ROUNDUP(MONTH(A153)/3,0))/100,0.03))</f>
        <v>0.07</v>
      </c>
      <c r="C153" s="25" t="n">
        <f aca="false">MAX(0,Penalty!$B$4-SUMIFS(Penalty!$C$10:$C$12,Penalty!$B$10:$B$12,"&lt;"&amp;A153))</f>
        <v>12000</v>
      </c>
      <c r="D153" s="25" t="n">
        <f aca="false">IF(A153&lt;=Penalty!$B$8,C153+F152+IF(A153&gt;Penalty!$B$19,Penalty!$I$5,0)+G152,0)</f>
        <v>13982.9442624375</v>
      </c>
      <c r="E153" s="26" t="n">
        <f aca="false">D153*B153/365</f>
        <v>2.68166054348116</v>
      </c>
      <c r="F153" s="25" t="n">
        <f aca="false">F152+E153*(1-IF(D153&gt;0,(IF(A153&gt;Penalty!$B$19,Penalty!$I$5,0)+G152)/D153,0))</f>
        <v>322.137377075735</v>
      </c>
      <c r="G153" s="25" t="n">
        <f aca="false">G152+E153*IF(D153&gt;0,(IF(A153&gt;Penalty!$B$19,Penalty!$I$5,0)+G152)/D153,0)</f>
        <v>43.4885459052242</v>
      </c>
    </row>
    <row r="154" customFormat="false" ht="15" hidden="false" customHeight="false" outlineLevel="0" collapsed="false">
      <c r="A154" s="23" t="n">
        <f aca="false">Penalty!$B$5+150</f>
        <v>46277</v>
      </c>
      <c r="B154" s="24" t="n">
        <f aca="false">IF(YEAR(A154)&gt;2026,Penalty!$B$16/100,IFERROR(INDEX(Rates!$B$4:$E$15,MATCH(YEAR(A154),Rates!$A$4:$A$15,0),ROUNDUP(MONTH(A154)/3,0))/100,0.03))</f>
        <v>0.07</v>
      </c>
      <c r="C154" s="25" t="n">
        <f aca="false">MAX(0,Penalty!$B$4-SUMIFS(Penalty!$C$10:$C$12,Penalty!$B$10:$B$12,"&lt;"&amp;A154))</f>
        <v>12000</v>
      </c>
      <c r="D154" s="25" t="n">
        <f aca="false">IF(A154&lt;=Penalty!$B$8,C154+F153+IF(A154&gt;Penalty!$B$19,Penalty!$I$5,0)+G153,0)</f>
        <v>13985.625922981</v>
      </c>
      <c r="E154" s="26" t="n">
        <f aca="false">D154*B154/365</f>
        <v>2.68217483454429</v>
      </c>
      <c r="F154" s="25" t="n">
        <f aca="false">F153+E154*(1-IF(D154&gt;0,(IF(A154&gt;Penalty!$B$19,Penalty!$I$5,0)+G153)/D154,0))</f>
        <v>324.500526709695</v>
      </c>
      <c r="G154" s="25" t="n">
        <f aca="false">G153+E154*IF(D154&gt;0,(IF(A154&gt;Penalty!$B$19,Penalty!$I$5,0)+G153)/D154,0)</f>
        <v>43.8075711058088</v>
      </c>
    </row>
    <row r="155" customFormat="false" ht="15" hidden="false" customHeight="false" outlineLevel="0" collapsed="false">
      <c r="A155" s="23" t="n">
        <f aca="false">Penalty!$B$5+151</f>
        <v>46278</v>
      </c>
      <c r="B155" s="24" t="n">
        <f aca="false">IF(YEAR(A155)&gt;2026,Penalty!$B$16/100,IFERROR(INDEX(Rates!$B$4:$E$15,MATCH(YEAR(A155),Rates!$A$4:$A$15,0),ROUNDUP(MONTH(A155)/3,0))/100,0.03))</f>
        <v>0.07</v>
      </c>
      <c r="C155" s="25" t="n">
        <f aca="false">MAX(0,Penalty!$B$4-SUMIFS(Penalty!$C$10:$C$12,Penalty!$B$10:$B$12,"&lt;"&amp;A155))</f>
        <v>12000</v>
      </c>
      <c r="D155" s="25" t="n">
        <f aca="false">IF(A155&lt;=Penalty!$B$8,C155+F154+IF(A155&gt;Penalty!$B$19,Penalty!$I$5,0)+G154,0)</f>
        <v>13988.3080978155</v>
      </c>
      <c r="E155" s="26" t="n">
        <f aca="false">D155*B155/365</f>
        <v>2.68268922423859</v>
      </c>
      <c r="F155" s="25" t="n">
        <f aca="false">F154+E155*(1-IF(D155&gt;0,(IF(A155&gt;Penalty!$B$19,Penalty!$I$5,0)+G154)/D155,0))</f>
        <v>326.864129550433</v>
      </c>
      <c r="G155" s="25" t="n">
        <f aca="false">G154+E155*IF(D155&gt;0,(IF(A155&gt;Penalty!$B$19,Penalty!$I$5,0)+G154)/D155,0)</f>
        <v>44.1266574893085</v>
      </c>
    </row>
    <row r="156" customFormat="false" ht="15" hidden="false" customHeight="false" outlineLevel="0" collapsed="false">
      <c r="A156" s="23" t="n">
        <f aca="false">Penalty!$B$5+152</f>
        <v>46279</v>
      </c>
      <c r="B156" s="24" t="n">
        <f aca="false">IF(YEAR(A156)&gt;2026,Penalty!$B$16/100,IFERROR(INDEX(Rates!$B$4:$E$15,MATCH(YEAR(A156),Rates!$A$4:$A$15,0),ROUNDUP(MONTH(A156)/3,0))/100,0.03))</f>
        <v>0.07</v>
      </c>
      <c r="C156" s="25" t="n">
        <f aca="false">MAX(0,Penalty!$B$4-SUMIFS(Penalty!$C$10:$C$12,Penalty!$B$10:$B$12,"&lt;"&amp;A156))</f>
        <v>12000</v>
      </c>
      <c r="D156" s="25" t="n">
        <f aca="false">IF(A156&lt;=Penalty!$B$8,C156+F155+IF(A156&gt;Penalty!$B$19,Penalty!$I$5,0)+G155,0)</f>
        <v>13990.9907870397</v>
      </c>
      <c r="E156" s="26" t="n">
        <f aca="false">D156*B156/365</f>
        <v>2.68320371258296</v>
      </c>
      <c r="F156" s="25" t="n">
        <f aca="false">F155+E156*(1-IF(D156&gt;0,(IF(A156&gt;Penalty!$B$19,Penalty!$I$5,0)+G155)/D156,0))</f>
        <v>329.228185684868</v>
      </c>
      <c r="G156" s="25" t="n">
        <f aca="false">G155+E156*IF(D156&gt;0,(IF(A156&gt;Penalty!$B$19,Penalty!$I$5,0)+G155)/D156,0)</f>
        <v>44.4458050674572</v>
      </c>
    </row>
    <row r="157" customFormat="false" ht="15" hidden="false" customHeight="false" outlineLevel="0" collapsed="false">
      <c r="A157" s="23" t="n">
        <f aca="false">Penalty!$B$5+153</f>
        <v>46280</v>
      </c>
      <c r="B157" s="24" t="n">
        <f aca="false">IF(YEAR(A157)&gt;2026,Penalty!$B$16/100,IFERROR(INDEX(Rates!$B$4:$E$15,MATCH(YEAR(A157),Rates!$A$4:$A$15,0),ROUNDUP(MONTH(A157)/3,0))/100,0.03))</f>
        <v>0.07</v>
      </c>
      <c r="C157" s="25" t="n">
        <f aca="false">MAX(0,Penalty!$B$4-SUMIFS(Penalty!$C$10:$C$12,Penalty!$B$10:$B$12,"&lt;"&amp;A157))</f>
        <v>12000</v>
      </c>
      <c r="D157" s="25" t="n">
        <f aca="false">IF(A157&lt;=Penalty!$B$8,C157+F156+IF(A157&gt;Penalty!$B$19,Penalty!$I$5,0)+G156,0)</f>
        <v>13993.6739907523</v>
      </c>
      <c r="E157" s="26" t="n">
        <f aca="false">D157*B157/365</f>
        <v>2.68371829959634</v>
      </c>
      <c r="F157" s="25" t="n">
        <f aca="false">F156+E157*(1-IF(D157&gt;0,(IF(A157&gt;Penalty!$B$19,Penalty!$I$5,0)+G156)/D157,0))</f>
        <v>331.592695199931</v>
      </c>
      <c r="G157" s="25" t="n">
        <f aca="false">G156+E157*IF(D157&gt;0,(IF(A157&gt;Penalty!$B$19,Penalty!$I$5,0)+G156)/D157,0)</f>
        <v>44.7650138519906</v>
      </c>
    </row>
    <row r="158" customFormat="false" ht="15" hidden="false" customHeight="false" outlineLevel="0" collapsed="false">
      <c r="A158" s="23" t="n">
        <f aca="false">Penalty!$B$5+154</f>
        <v>46281</v>
      </c>
      <c r="B158" s="24" t="n">
        <f aca="false">IF(YEAR(A158)&gt;2026,Penalty!$B$16/100,IFERROR(INDEX(Rates!$B$4:$E$15,MATCH(YEAR(A158),Rates!$A$4:$A$15,0),ROUNDUP(MONTH(A158)/3,0))/100,0.03))</f>
        <v>0.07</v>
      </c>
      <c r="C158" s="25" t="n">
        <f aca="false">MAX(0,Penalty!$B$4-SUMIFS(Penalty!$C$10:$C$12,Penalty!$B$10:$B$12,"&lt;"&amp;A158))</f>
        <v>12000</v>
      </c>
      <c r="D158" s="25" t="n">
        <f aca="false">IF(A158&lt;=Penalty!$B$8,C158+F157+IF(A158&gt;Penalty!$B$19,Penalty!$I$5,0)+G157,0)</f>
        <v>13996.3577090519</v>
      </c>
      <c r="E158" s="26" t="n">
        <f aca="false">D158*B158/365</f>
        <v>2.68423298529763</v>
      </c>
      <c r="F158" s="25" t="n">
        <f aca="false">F157+E158*(1-IF(D158&gt;0,(IF(A158&gt;Penalty!$B$19,Penalty!$I$5,0)+G157)/D158,0))</f>
        <v>333.957658182572</v>
      </c>
      <c r="G158" s="25" t="n">
        <f aca="false">G157+E158*IF(D158&gt;0,(IF(A158&gt;Penalty!$B$19,Penalty!$I$5,0)+G157)/D158,0)</f>
        <v>45.0842838546472</v>
      </c>
    </row>
    <row r="159" customFormat="false" ht="15" hidden="false" customHeight="false" outlineLevel="0" collapsed="false">
      <c r="A159" s="23" t="n">
        <f aca="false">Penalty!$B$5+155</f>
        <v>46282</v>
      </c>
      <c r="B159" s="24" t="n">
        <f aca="false">IF(YEAR(A159)&gt;2026,Penalty!$B$16/100,IFERROR(INDEX(Rates!$B$4:$E$15,MATCH(YEAR(A159),Rates!$A$4:$A$15,0),ROUNDUP(MONTH(A159)/3,0))/100,0.03))</f>
        <v>0.07</v>
      </c>
      <c r="C159" s="25" t="n">
        <f aca="false">MAX(0,Penalty!$B$4-SUMIFS(Penalty!$C$10:$C$12,Penalty!$B$10:$B$12,"&lt;"&amp;A159))</f>
        <v>12000</v>
      </c>
      <c r="D159" s="25" t="n">
        <f aca="false">IF(A159&lt;=Penalty!$B$8,C159+F158+IF(A159&gt;Penalty!$B$19,Penalty!$I$5,0)+G158,0)</f>
        <v>13999.0419420372</v>
      </c>
      <c r="E159" s="26" t="n">
        <f aca="false">D159*B159/365</f>
        <v>2.68474776970577</v>
      </c>
      <c r="F159" s="25" t="n">
        <f aca="false">F158+E159*(1-IF(D159&gt;0,(IF(A159&gt;Penalty!$B$19,Penalty!$I$5,0)+G158)/D159,0))</f>
        <v>336.323074719757</v>
      </c>
      <c r="G159" s="25" t="n">
        <f aca="false">G158+E159*IF(D159&gt;0,(IF(A159&gt;Penalty!$B$19,Penalty!$I$5,0)+G158)/D159,0)</f>
        <v>45.4036150871673</v>
      </c>
    </row>
    <row r="160" customFormat="false" ht="15" hidden="false" customHeight="false" outlineLevel="0" collapsed="false">
      <c r="A160" s="23" t="n">
        <f aca="false">Penalty!$B$5+156</f>
        <v>46283</v>
      </c>
      <c r="B160" s="24" t="n">
        <f aca="false">IF(YEAR(A160)&gt;2026,Penalty!$B$16/100,IFERROR(INDEX(Rates!$B$4:$E$15,MATCH(YEAR(A160),Rates!$A$4:$A$15,0),ROUNDUP(MONTH(A160)/3,0))/100,0.03))</f>
        <v>0.07</v>
      </c>
      <c r="C160" s="25" t="n">
        <f aca="false">MAX(0,Penalty!$B$4-SUMIFS(Penalty!$C$10:$C$12,Penalty!$B$10:$B$12,"&lt;"&amp;A160))</f>
        <v>12000</v>
      </c>
      <c r="D160" s="25" t="n">
        <f aca="false">IF(A160&lt;=Penalty!$B$8,C160+F159+IF(A160&gt;Penalty!$B$19,Penalty!$I$5,0)+G159,0)</f>
        <v>14001.7266898069</v>
      </c>
      <c r="E160" s="26" t="n">
        <f aca="false">D160*B160/365</f>
        <v>2.68526265283968</v>
      </c>
      <c r="F160" s="25" t="n">
        <f aca="false">F159+E160*(1-IF(D160&gt;0,(IF(A160&gt;Penalty!$B$19,Penalty!$I$5,0)+G159)/D160,0))</f>
        <v>338.688944898471</v>
      </c>
      <c r="G160" s="25" t="n">
        <f aca="false">G159+E160*IF(D160&gt;0,(IF(A160&gt;Penalty!$B$19,Penalty!$I$5,0)+G159)/D160,0)</f>
        <v>45.7230075612936</v>
      </c>
    </row>
    <row r="161" customFormat="false" ht="15" hidden="false" customHeight="false" outlineLevel="0" collapsed="false">
      <c r="A161" s="23" t="n">
        <f aca="false">Penalty!$B$5+157</f>
        <v>46284</v>
      </c>
      <c r="B161" s="24" t="n">
        <f aca="false">IF(YEAR(A161)&gt;2026,Penalty!$B$16/100,IFERROR(INDEX(Rates!$B$4:$E$15,MATCH(YEAR(A161),Rates!$A$4:$A$15,0),ROUNDUP(MONTH(A161)/3,0))/100,0.03))</f>
        <v>0.07</v>
      </c>
      <c r="C161" s="25" t="n">
        <f aca="false">MAX(0,Penalty!$B$4-SUMIFS(Penalty!$C$10:$C$12,Penalty!$B$10:$B$12,"&lt;"&amp;A161))</f>
        <v>12000</v>
      </c>
      <c r="D161" s="25" t="n">
        <f aca="false">IF(A161&lt;=Penalty!$B$8,C161+F160+IF(A161&gt;Penalty!$B$19,Penalty!$I$5,0)+G160,0)</f>
        <v>14004.4119524598</v>
      </c>
      <c r="E161" s="26" t="n">
        <f aca="false">D161*B161/365</f>
        <v>2.68577763471831</v>
      </c>
      <c r="F161" s="25" t="n">
        <f aca="false">F160+E161*(1-IF(D161&gt;0,(IF(A161&gt;Penalty!$B$19,Penalty!$I$5,0)+G160)/D161,0))</f>
        <v>341.055268805712</v>
      </c>
      <c r="G161" s="25" t="n">
        <f aca="false">G160+E161*IF(D161&gt;0,(IF(A161&gt;Penalty!$B$19,Penalty!$I$5,0)+G160)/D161,0)</f>
        <v>46.0424612887711</v>
      </c>
    </row>
    <row r="162" customFormat="false" ht="15" hidden="false" customHeight="false" outlineLevel="0" collapsed="false">
      <c r="A162" s="23" t="n">
        <f aca="false">Penalty!$B$5+158</f>
        <v>46285</v>
      </c>
      <c r="B162" s="24" t="n">
        <f aca="false">IF(YEAR(A162)&gt;2026,Penalty!$B$16/100,IFERROR(INDEX(Rates!$B$4:$E$15,MATCH(YEAR(A162),Rates!$A$4:$A$15,0),ROUNDUP(MONTH(A162)/3,0))/100,0.03))</f>
        <v>0.07</v>
      </c>
      <c r="C162" s="25" t="n">
        <f aca="false">MAX(0,Penalty!$B$4-SUMIFS(Penalty!$C$10:$C$12,Penalty!$B$10:$B$12,"&lt;"&amp;A162))</f>
        <v>12000</v>
      </c>
      <c r="D162" s="25" t="n">
        <f aca="false">IF(A162&lt;=Penalty!$B$8,C162+F161+IF(A162&gt;Penalty!$B$19,Penalty!$I$5,0)+G161,0)</f>
        <v>14007.0977300945</v>
      </c>
      <c r="E162" s="26" t="n">
        <f aca="false">D162*B162/365</f>
        <v>2.68629271536059</v>
      </c>
      <c r="F162" s="25" t="n">
        <f aca="false">F161+E162*(1-IF(D162&gt;0,(IF(A162&gt;Penalty!$B$19,Penalty!$I$5,0)+G161)/D162,0))</f>
        <v>343.422046528496</v>
      </c>
      <c r="G162" s="25" t="n">
        <f aca="false">G161+E162*IF(D162&gt;0,(IF(A162&gt;Penalty!$B$19,Penalty!$I$5,0)+G161)/D162,0)</f>
        <v>46.361976281347</v>
      </c>
    </row>
    <row r="163" customFormat="false" ht="15" hidden="false" customHeight="false" outlineLevel="0" collapsed="false">
      <c r="A163" s="23" t="n">
        <f aca="false">Penalty!$B$5+159</f>
        <v>46286</v>
      </c>
      <c r="B163" s="24" t="n">
        <f aca="false">IF(YEAR(A163)&gt;2026,Penalty!$B$16/100,IFERROR(INDEX(Rates!$B$4:$E$15,MATCH(YEAR(A163),Rates!$A$4:$A$15,0),ROUNDUP(MONTH(A163)/3,0))/100,0.03))</f>
        <v>0.07</v>
      </c>
      <c r="C163" s="25" t="n">
        <f aca="false">MAX(0,Penalty!$B$4-SUMIFS(Penalty!$C$10:$C$12,Penalty!$B$10:$B$12,"&lt;"&amp;A163))</f>
        <v>12000</v>
      </c>
      <c r="D163" s="25" t="n">
        <f aca="false">IF(A163&lt;=Penalty!$B$8,C163+F162+IF(A163&gt;Penalty!$B$19,Penalty!$I$5,0)+G162,0)</f>
        <v>14009.7840228098</v>
      </c>
      <c r="E163" s="26" t="n">
        <f aca="false">D163*B163/365</f>
        <v>2.68680789478545</v>
      </c>
      <c r="F163" s="25" t="n">
        <f aca="false">F162+E163*(1-IF(D163&gt;0,(IF(A163&gt;Penalty!$B$19,Penalty!$I$5,0)+G162)/D163,0))</f>
        <v>345.789278153858</v>
      </c>
      <c r="G163" s="25" t="n">
        <f aca="false">G162+E163*IF(D163&gt;0,(IF(A163&gt;Penalty!$B$19,Penalty!$I$5,0)+G162)/D163,0)</f>
        <v>46.6815525507708</v>
      </c>
    </row>
    <row r="164" customFormat="false" ht="15" hidden="false" customHeight="false" outlineLevel="0" collapsed="false">
      <c r="A164" s="23" t="n">
        <f aca="false">Penalty!$B$5+160</f>
        <v>46287</v>
      </c>
      <c r="B164" s="24" t="n">
        <f aca="false">IF(YEAR(A164)&gt;2026,Penalty!$B$16/100,IFERROR(INDEX(Rates!$B$4:$E$15,MATCH(YEAR(A164),Rates!$A$4:$A$15,0),ROUNDUP(MONTH(A164)/3,0))/100,0.03))</f>
        <v>0.07</v>
      </c>
      <c r="C164" s="25" t="n">
        <f aca="false">MAX(0,Penalty!$B$4-SUMIFS(Penalty!$C$10:$C$12,Penalty!$B$10:$B$12,"&lt;"&amp;A164))</f>
        <v>12000</v>
      </c>
      <c r="D164" s="25" t="n">
        <f aca="false">IF(A164&lt;=Penalty!$B$8,C164+F163+IF(A164&gt;Penalty!$B$19,Penalty!$I$5,0)+G163,0)</f>
        <v>0</v>
      </c>
      <c r="E164" s="26" t="n">
        <f aca="false">D164*B164/365</f>
        <v>0</v>
      </c>
      <c r="F164" s="25" t="n">
        <f aca="false">F163+E164*(1-IF(D164&gt;0,(IF(A164&gt;Penalty!$B$19,Penalty!$I$5,0)+G163)/D164,0))</f>
        <v>345.789278153858</v>
      </c>
      <c r="G164" s="25" t="n">
        <f aca="false">G163+E164*IF(D164&gt;0,(IF(A164&gt;Penalty!$B$19,Penalty!$I$5,0)+G163)/D164,0)</f>
        <v>46.6815525507708</v>
      </c>
    </row>
    <row r="165" customFormat="false" ht="15" hidden="false" customHeight="false" outlineLevel="0" collapsed="false">
      <c r="A165" s="23" t="n">
        <f aca="false">Penalty!$B$5+161</f>
        <v>46288</v>
      </c>
      <c r="B165" s="24" t="n">
        <f aca="false">IF(YEAR(A165)&gt;2026,Penalty!$B$16/100,IFERROR(INDEX(Rates!$B$4:$E$15,MATCH(YEAR(A165),Rates!$A$4:$A$15,0),ROUNDUP(MONTH(A165)/3,0))/100,0.03))</f>
        <v>0.07</v>
      </c>
      <c r="C165" s="25" t="n">
        <f aca="false">MAX(0,Penalty!$B$4-SUMIFS(Penalty!$C$10:$C$12,Penalty!$B$10:$B$12,"&lt;"&amp;A165))</f>
        <v>12000</v>
      </c>
      <c r="D165" s="25" t="n">
        <f aca="false">IF(A165&lt;=Penalty!$B$8,C165+F164+IF(A165&gt;Penalty!$B$19,Penalty!$I$5,0)+G164,0)</f>
        <v>0</v>
      </c>
      <c r="E165" s="26" t="n">
        <f aca="false">D165*B165/365</f>
        <v>0</v>
      </c>
      <c r="F165" s="25" t="n">
        <f aca="false">F164+E165*(1-IF(D165&gt;0,(IF(A165&gt;Penalty!$B$19,Penalty!$I$5,0)+G164)/D165,0))</f>
        <v>345.789278153858</v>
      </c>
      <c r="G165" s="25" t="n">
        <f aca="false">G164+E165*IF(D165&gt;0,(IF(A165&gt;Penalty!$B$19,Penalty!$I$5,0)+G164)/D165,0)</f>
        <v>46.6815525507708</v>
      </c>
    </row>
    <row r="166" customFormat="false" ht="15" hidden="false" customHeight="false" outlineLevel="0" collapsed="false">
      <c r="A166" s="23" t="n">
        <f aca="false">Penalty!$B$5+162</f>
        <v>46289</v>
      </c>
      <c r="B166" s="24" t="n">
        <f aca="false">IF(YEAR(A166)&gt;2026,Penalty!$B$16/100,IFERROR(INDEX(Rates!$B$4:$E$15,MATCH(YEAR(A166),Rates!$A$4:$A$15,0),ROUNDUP(MONTH(A166)/3,0))/100,0.03))</f>
        <v>0.07</v>
      </c>
      <c r="C166" s="25" t="n">
        <f aca="false">MAX(0,Penalty!$B$4-SUMIFS(Penalty!$C$10:$C$12,Penalty!$B$10:$B$12,"&lt;"&amp;A166))</f>
        <v>12000</v>
      </c>
      <c r="D166" s="25" t="n">
        <f aca="false">IF(A166&lt;=Penalty!$B$8,C166+F165+IF(A166&gt;Penalty!$B$19,Penalty!$I$5,0)+G165,0)</f>
        <v>0</v>
      </c>
      <c r="E166" s="26" t="n">
        <f aca="false">D166*B166/365</f>
        <v>0</v>
      </c>
      <c r="F166" s="25" t="n">
        <f aca="false">F165+E166*(1-IF(D166&gt;0,(IF(A166&gt;Penalty!$B$19,Penalty!$I$5,0)+G165)/D166,0))</f>
        <v>345.789278153858</v>
      </c>
      <c r="G166" s="25" t="n">
        <f aca="false">G165+E166*IF(D166&gt;0,(IF(A166&gt;Penalty!$B$19,Penalty!$I$5,0)+G165)/D166,0)</f>
        <v>46.6815525507708</v>
      </c>
    </row>
    <row r="167" customFormat="false" ht="15" hidden="false" customHeight="false" outlineLevel="0" collapsed="false">
      <c r="A167" s="23" t="n">
        <f aca="false">Penalty!$B$5+163</f>
        <v>46290</v>
      </c>
      <c r="B167" s="24" t="n">
        <f aca="false">IF(YEAR(A167)&gt;2026,Penalty!$B$16/100,IFERROR(INDEX(Rates!$B$4:$E$15,MATCH(YEAR(A167),Rates!$A$4:$A$15,0),ROUNDUP(MONTH(A167)/3,0))/100,0.03))</f>
        <v>0.07</v>
      </c>
      <c r="C167" s="25" t="n">
        <f aca="false">MAX(0,Penalty!$B$4-SUMIFS(Penalty!$C$10:$C$12,Penalty!$B$10:$B$12,"&lt;"&amp;A167))</f>
        <v>12000</v>
      </c>
      <c r="D167" s="25" t="n">
        <f aca="false">IF(A167&lt;=Penalty!$B$8,C167+F166+IF(A167&gt;Penalty!$B$19,Penalty!$I$5,0)+G166,0)</f>
        <v>0</v>
      </c>
      <c r="E167" s="26" t="n">
        <f aca="false">D167*B167/365</f>
        <v>0</v>
      </c>
      <c r="F167" s="25" t="n">
        <f aca="false">F166+E167*(1-IF(D167&gt;0,(IF(A167&gt;Penalty!$B$19,Penalty!$I$5,0)+G166)/D167,0))</f>
        <v>345.789278153858</v>
      </c>
      <c r="G167" s="25" t="n">
        <f aca="false">G166+E167*IF(D167&gt;0,(IF(A167&gt;Penalty!$B$19,Penalty!$I$5,0)+G166)/D167,0)</f>
        <v>46.6815525507708</v>
      </c>
    </row>
    <row r="168" customFormat="false" ht="15" hidden="false" customHeight="false" outlineLevel="0" collapsed="false">
      <c r="A168" s="23" t="n">
        <f aca="false">Penalty!$B$5+164</f>
        <v>46291</v>
      </c>
      <c r="B168" s="24" t="n">
        <f aca="false">IF(YEAR(A168)&gt;2026,Penalty!$B$16/100,IFERROR(INDEX(Rates!$B$4:$E$15,MATCH(YEAR(A168),Rates!$A$4:$A$15,0),ROUNDUP(MONTH(A168)/3,0))/100,0.03))</f>
        <v>0.07</v>
      </c>
      <c r="C168" s="25" t="n">
        <f aca="false">MAX(0,Penalty!$B$4-SUMIFS(Penalty!$C$10:$C$12,Penalty!$B$10:$B$12,"&lt;"&amp;A168))</f>
        <v>12000</v>
      </c>
      <c r="D168" s="25" t="n">
        <f aca="false">IF(A168&lt;=Penalty!$B$8,C168+F167+IF(A168&gt;Penalty!$B$19,Penalty!$I$5,0)+G167,0)</f>
        <v>0</v>
      </c>
      <c r="E168" s="26" t="n">
        <f aca="false">D168*B168/365</f>
        <v>0</v>
      </c>
      <c r="F168" s="25" t="n">
        <f aca="false">F167+E168*(1-IF(D168&gt;0,(IF(A168&gt;Penalty!$B$19,Penalty!$I$5,0)+G167)/D168,0))</f>
        <v>345.789278153858</v>
      </c>
      <c r="G168" s="25" t="n">
        <f aca="false">G167+E168*IF(D168&gt;0,(IF(A168&gt;Penalty!$B$19,Penalty!$I$5,0)+G167)/D168,0)</f>
        <v>46.6815525507708</v>
      </c>
    </row>
    <row r="169" customFormat="false" ht="15" hidden="false" customHeight="false" outlineLevel="0" collapsed="false">
      <c r="A169" s="23" t="n">
        <f aca="false">Penalty!$B$5+165</f>
        <v>46292</v>
      </c>
      <c r="B169" s="24" t="n">
        <f aca="false">IF(YEAR(A169)&gt;2026,Penalty!$B$16/100,IFERROR(INDEX(Rates!$B$4:$E$15,MATCH(YEAR(A169),Rates!$A$4:$A$15,0),ROUNDUP(MONTH(A169)/3,0))/100,0.03))</f>
        <v>0.07</v>
      </c>
      <c r="C169" s="25" t="n">
        <f aca="false">MAX(0,Penalty!$B$4-SUMIFS(Penalty!$C$10:$C$12,Penalty!$B$10:$B$12,"&lt;"&amp;A169))</f>
        <v>12000</v>
      </c>
      <c r="D169" s="25" t="n">
        <f aca="false">IF(A169&lt;=Penalty!$B$8,C169+F168+IF(A169&gt;Penalty!$B$19,Penalty!$I$5,0)+G168,0)</f>
        <v>0</v>
      </c>
      <c r="E169" s="26" t="n">
        <f aca="false">D169*B169/365</f>
        <v>0</v>
      </c>
      <c r="F169" s="25" t="n">
        <f aca="false">F168+E169*(1-IF(D169&gt;0,(IF(A169&gt;Penalty!$B$19,Penalty!$I$5,0)+G168)/D169,0))</f>
        <v>345.789278153858</v>
      </c>
      <c r="G169" s="25" t="n">
        <f aca="false">G168+E169*IF(D169&gt;0,(IF(A169&gt;Penalty!$B$19,Penalty!$I$5,0)+G168)/D169,0)</f>
        <v>46.6815525507708</v>
      </c>
    </row>
    <row r="170" customFormat="false" ht="15" hidden="false" customHeight="false" outlineLevel="0" collapsed="false">
      <c r="A170" s="23" t="n">
        <f aca="false">Penalty!$B$5+166</f>
        <v>46293</v>
      </c>
      <c r="B170" s="24" t="n">
        <f aca="false">IF(YEAR(A170)&gt;2026,Penalty!$B$16/100,IFERROR(INDEX(Rates!$B$4:$E$15,MATCH(YEAR(A170),Rates!$A$4:$A$15,0),ROUNDUP(MONTH(A170)/3,0))/100,0.03))</f>
        <v>0.07</v>
      </c>
      <c r="C170" s="25" t="n">
        <f aca="false">MAX(0,Penalty!$B$4-SUMIFS(Penalty!$C$10:$C$12,Penalty!$B$10:$B$12,"&lt;"&amp;A170))</f>
        <v>12000</v>
      </c>
      <c r="D170" s="25" t="n">
        <f aca="false">IF(A170&lt;=Penalty!$B$8,C170+F169+IF(A170&gt;Penalty!$B$19,Penalty!$I$5,0)+G169,0)</f>
        <v>0</v>
      </c>
      <c r="E170" s="26" t="n">
        <f aca="false">D170*B170/365</f>
        <v>0</v>
      </c>
      <c r="F170" s="25" t="n">
        <f aca="false">F169+E170*(1-IF(D170&gt;0,(IF(A170&gt;Penalty!$B$19,Penalty!$I$5,0)+G169)/D170,0))</f>
        <v>345.789278153858</v>
      </c>
      <c r="G170" s="25" t="n">
        <f aca="false">G169+E170*IF(D170&gt;0,(IF(A170&gt;Penalty!$B$19,Penalty!$I$5,0)+G169)/D170,0)</f>
        <v>46.6815525507708</v>
      </c>
    </row>
    <row r="171" customFormat="false" ht="15" hidden="false" customHeight="false" outlineLevel="0" collapsed="false">
      <c r="A171" s="23" t="n">
        <f aca="false">Penalty!$B$5+167</f>
        <v>46294</v>
      </c>
      <c r="B171" s="24" t="n">
        <f aca="false">IF(YEAR(A171)&gt;2026,Penalty!$B$16/100,IFERROR(INDEX(Rates!$B$4:$E$15,MATCH(YEAR(A171),Rates!$A$4:$A$15,0),ROUNDUP(MONTH(A171)/3,0))/100,0.03))</f>
        <v>0.07</v>
      </c>
      <c r="C171" s="25" t="n">
        <f aca="false">MAX(0,Penalty!$B$4-SUMIFS(Penalty!$C$10:$C$12,Penalty!$B$10:$B$12,"&lt;"&amp;A171))</f>
        <v>12000</v>
      </c>
      <c r="D171" s="25" t="n">
        <f aca="false">IF(A171&lt;=Penalty!$B$8,C171+F170+IF(A171&gt;Penalty!$B$19,Penalty!$I$5,0)+G170,0)</f>
        <v>0</v>
      </c>
      <c r="E171" s="26" t="n">
        <f aca="false">D171*B171/365</f>
        <v>0</v>
      </c>
      <c r="F171" s="25" t="n">
        <f aca="false">F170+E171*(1-IF(D171&gt;0,(IF(A171&gt;Penalty!$B$19,Penalty!$I$5,0)+G170)/D171,0))</f>
        <v>345.789278153858</v>
      </c>
      <c r="G171" s="25" t="n">
        <f aca="false">G170+E171*IF(D171&gt;0,(IF(A171&gt;Penalty!$B$19,Penalty!$I$5,0)+G170)/D171,0)</f>
        <v>46.6815525507708</v>
      </c>
    </row>
    <row r="172" customFormat="false" ht="15" hidden="false" customHeight="false" outlineLevel="0" collapsed="false">
      <c r="A172" s="23" t="n">
        <f aca="false">Penalty!$B$5+168</f>
        <v>46295</v>
      </c>
      <c r="B172" s="24" t="n">
        <f aca="false">IF(YEAR(A172)&gt;2026,Penalty!$B$16/100,IFERROR(INDEX(Rates!$B$4:$E$15,MATCH(YEAR(A172),Rates!$A$4:$A$15,0),ROUNDUP(MONTH(A172)/3,0))/100,0.03))</f>
        <v>0.07</v>
      </c>
      <c r="C172" s="25" t="n">
        <f aca="false">MAX(0,Penalty!$B$4-SUMIFS(Penalty!$C$10:$C$12,Penalty!$B$10:$B$12,"&lt;"&amp;A172))</f>
        <v>12000</v>
      </c>
      <c r="D172" s="25" t="n">
        <f aca="false">IF(A172&lt;=Penalty!$B$8,C172+F171+IF(A172&gt;Penalty!$B$19,Penalty!$I$5,0)+G171,0)</f>
        <v>0</v>
      </c>
      <c r="E172" s="26" t="n">
        <f aca="false">D172*B172/365</f>
        <v>0</v>
      </c>
      <c r="F172" s="25" t="n">
        <f aca="false">F171+E172*(1-IF(D172&gt;0,(IF(A172&gt;Penalty!$B$19,Penalty!$I$5,0)+G171)/D172,0))</f>
        <v>345.789278153858</v>
      </c>
      <c r="G172" s="25" t="n">
        <f aca="false">G171+E172*IF(D172&gt;0,(IF(A172&gt;Penalty!$B$19,Penalty!$I$5,0)+G171)/D172,0)</f>
        <v>46.6815525507708</v>
      </c>
    </row>
    <row r="173" customFormat="false" ht="15" hidden="false" customHeight="false" outlineLevel="0" collapsed="false">
      <c r="A173" s="23" t="n">
        <f aca="false">Penalty!$B$5+169</f>
        <v>46296</v>
      </c>
      <c r="B173" s="24" t="n">
        <f aca="false">IF(YEAR(A173)&gt;2026,Penalty!$B$16/100,IFERROR(INDEX(Rates!$B$4:$E$15,MATCH(YEAR(A173),Rates!$A$4:$A$15,0),ROUNDUP(MONTH(A173)/3,0))/100,0.03))</f>
        <v>0.07</v>
      </c>
      <c r="C173" s="25" t="n">
        <f aca="false">MAX(0,Penalty!$B$4-SUMIFS(Penalty!$C$10:$C$12,Penalty!$B$10:$B$12,"&lt;"&amp;A173))</f>
        <v>12000</v>
      </c>
      <c r="D173" s="25" t="n">
        <f aca="false">IF(A173&lt;=Penalty!$B$8,C173+F172+IF(A173&gt;Penalty!$B$19,Penalty!$I$5,0)+G172,0)</f>
        <v>0</v>
      </c>
      <c r="E173" s="26" t="n">
        <f aca="false">D173*B173/365</f>
        <v>0</v>
      </c>
      <c r="F173" s="25" t="n">
        <f aca="false">F172+E173*(1-IF(D173&gt;0,(IF(A173&gt;Penalty!$B$19,Penalty!$I$5,0)+G172)/D173,0))</f>
        <v>345.789278153858</v>
      </c>
      <c r="G173" s="25" t="n">
        <f aca="false">G172+E173*IF(D173&gt;0,(IF(A173&gt;Penalty!$B$19,Penalty!$I$5,0)+G172)/D173,0)</f>
        <v>46.6815525507708</v>
      </c>
    </row>
    <row r="174" customFormat="false" ht="15" hidden="false" customHeight="false" outlineLevel="0" collapsed="false">
      <c r="A174" s="23" t="n">
        <f aca="false">Penalty!$B$5+170</f>
        <v>46297</v>
      </c>
      <c r="B174" s="24" t="n">
        <f aca="false">IF(YEAR(A174)&gt;2026,Penalty!$B$16/100,IFERROR(INDEX(Rates!$B$4:$E$15,MATCH(YEAR(A174),Rates!$A$4:$A$15,0),ROUNDUP(MONTH(A174)/3,0))/100,0.03))</f>
        <v>0.07</v>
      </c>
      <c r="C174" s="25" t="n">
        <f aca="false">MAX(0,Penalty!$B$4-SUMIFS(Penalty!$C$10:$C$12,Penalty!$B$10:$B$12,"&lt;"&amp;A174))</f>
        <v>12000</v>
      </c>
      <c r="D174" s="25" t="n">
        <f aca="false">IF(A174&lt;=Penalty!$B$8,C174+F173+IF(A174&gt;Penalty!$B$19,Penalty!$I$5,0)+G173,0)</f>
        <v>0</v>
      </c>
      <c r="E174" s="26" t="n">
        <f aca="false">D174*B174/365</f>
        <v>0</v>
      </c>
      <c r="F174" s="25" t="n">
        <f aca="false">F173+E174*(1-IF(D174&gt;0,(IF(A174&gt;Penalty!$B$19,Penalty!$I$5,0)+G173)/D174,0))</f>
        <v>345.789278153858</v>
      </c>
      <c r="G174" s="25" t="n">
        <f aca="false">G173+E174*IF(D174&gt;0,(IF(A174&gt;Penalty!$B$19,Penalty!$I$5,0)+G173)/D174,0)</f>
        <v>46.6815525507708</v>
      </c>
    </row>
    <row r="175" customFormat="false" ht="15" hidden="false" customHeight="false" outlineLevel="0" collapsed="false">
      <c r="A175" s="23" t="n">
        <f aca="false">Penalty!$B$5+171</f>
        <v>46298</v>
      </c>
      <c r="B175" s="24" t="n">
        <f aca="false">IF(YEAR(A175)&gt;2026,Penalty!$B$16/100,IFERROR(INDEX(Rates!$B$4:$E$15,MATCH(YEAR(A175),Rates!$A$4:$A$15,0),ROUNDUP(MONTH(A175)/3,0))/100,0.03))</f>
        <v>0.07</v>
      </c>
      <c r="C175" s="25" t="n">
        <f aca="false">MAX(0,Penalty!$B$4-SUMIFS(Penalty!$C$10:$C$12,Penalty!$B$10:$B$12,"&lt;"&amp;A175))</f>
        <v>12000</v>
      </c>
      <c r="D175" s="25" t="n">
        <f aca="false">IF(A175&lt;=Penalty!$B$8,C175+F174+IF(A175&gt;Penalty!$B$19,Penalty!$I$5,0)+G174,0)</f>
        <v>0</v>
      </c>
      <c r="E175" s="26" t="n">
        <f aca="false">D175*B175/365</f>
        <v>0</v>
      </c>
      <c r="F175" s="25" t="n">
        <f aca="false">F174+E175*(1-IF(D175&gt;0,(IF(A175&gt;Penalty!$B$19,Penalty!$I$5,0)+G174)/D175,0))</f>
        <v>345.789278153858</v>
      </c>
      <c r="G175" s="25" t="n">
        <f aca="false">G174+E175*IF(D175&gt;0,(IF(A175&gt;Penalty!$B$19,Penalty!$I$5,0)+G174)/D175,0)</f>
        <v>46.6815525507708</v>
      </c>
    </row>
    <row r="176" customFormat="false" ht="15" hidden="false" customHeight="false" outlineLevel="0" collapsed="false">
      <c r="A176" s="23" t="n">
        <f aca="false">Penalty!$B$5+172</f>
        <v>46299</v>
      </c>
      <c r="B176" s="24" t="n">
        <f aca="false">IF(YEAR(A176)&gt;2026,Penalty!$B$16/100,IFERROR(INDEX(Rates!$B$4:$E$15,MATCH(YEAR(A176),Rates!$A$4:$A$15,0),ROUNDUP(MONTH(A176)/3,0))/100,0.03))</f>
        <v>0.07</v>
      </c>
      <c r="C176" s="25" t="n">
        <f aca="false">MAX(0,Penalty!$B$4-SUMIFS(Penalty!$C$10:$C$12,Penalty!$B$10:$B$12,"&lt;"&amp;A176))</f>
        <v>12000</v>
      </c>
      <c r="D176" s="25" t="n">
        <f aca="false">IF(A176&lt;=Penalty!$B$8,C176+F175+IF(A176&gt;Penalty!$B$19,Penalty!$I$5,0)+G175,0)</f>
        <v>0</v>
      </c>
      <c r="E176" s="26" t="n">
        <f aca="false">D176*B176/365</f>
        <v>0</v>
      </c>
      <c r="F176" s="25" t="n">
        <f aca="false">F175+E176*(1-IF(D176&gt;0,(IF(A176&gt;Penalty!$B$19,Penalty!$I$5,0)+G175)/D176,0))</f>
        <v>345.789278153858</v>
      </c>
      <c r="G176" s="25" t="n">
        <f aca="false">G175+E176*IF(D176&gt;0,(IF(A176&gt;Penalty!$B$19,Penalty!$I$5,0)+G175)/D176,0)</f>
        <v>46.6815525507708</v>
      </c>
    </row>
    <row r="177" customFormat="false" ht="15" hidden="false" customHeight="false" outlineLevel="0" collapsed="false">
      <c r="A177" s="23" t="n">
        <f aca="false">Penalty!$B$5+173</f>
        <v>46300</v>
      </c>
      <c r="B177" s="24" t="n">
        <f aca="false">IF(YEAR(A177)&gt;2026,Penalty!$B$16/100,IFERROR(INDEX(Rates!$B$4:$E$15,MATCH(YEAR(A177),Rates!$A$4:$A$15,0),ROUNDUP(MONTH(A177)/3,0))/100,0.03))</f>
        <v>0.07</v>
      </c>
      <c r="C177" s="25" t="n">
        <f aca="false">MAX(0,Penalty!$B$4-SUMIFS(Penalty!$C$10:$C$12,Penalty!$B$10:$B$12,"&lt;"&amp;A177))</f>
        <v>12000</v>
      </c>
      <c r="D177" s="25" t="n">
        <f aca="false">IF(A177&lt;=Penalty!$B$8,C177+F176+IF(A177&gt;Penalty!$B$19,Penalty!$I$5,0)+G176,0)</f>
        <v>0</v>
      </c>
      <c r="E177" s="26" t="n">
        <f aca="false">D177*B177/365</f>
        <v>0</v>
      </c>
      <c r="F177" s="25" t="n">
        <f aca="false">F176+E177*(1-IF(D177&gt;0,(IF(A177&gt;Penalty!$B$19,Penalty!$I$5,0)+G176)/D177,0))</f>
        <v>345.789278153858</v>
      </c>
      <c r="G177" s="25" t="n">
        <f aca="false">G176+E177*IF(D177&gt;0,(IF(A177&gt;Penalty!$B$19,Penalty!$I$5,0)+G176)/D177,0)</f>
        <v>46.6815525507708</v>
      </c>
    </row>
    <row r="178" customFormat="false" ht="15" hidden="false" customHeight="false" outlineLevel="0" collapsed="false">
      <c r="A178" s="23" t="n">
        <f aca="false">Penalty!$B$5+174</f>
        <v>46301</v>
      </c>
      <c r="B178" s="24" t="n">
        <f aca="false">IF(YEAR(A178)&gt;2026,Penalty!$B$16/100,IFERROR(INDEX(Rates!$B$4:$E$15,MATCH(YEAR(A178),Rates!$A$4:$A$15,0),ROUNDUP(MONTH(A178)/3,0))/100,0.03))</f>
        <v>0.07</v>
      </c>
      <c r="C178" s="25" t="n">
        <f aca="false">MAX(0,Penalty!$B$4-SUMIFS(Penalty!$C$10:$C$12,Penalty!$B$10:$B$12,"&lt;"&amp;A178))</f>
        <v>12000</v>
      </c>
      <c r="D178" s="25" t="n">
        <f aca="false">IF(A178&lt;=Penalty!$B$8,C178+F177+IF(A178&gt;Penalty!$B$19,Penalty!$I$5,0)+G177,0)</f>
        <v>0</v>
      </c>
      <c r="E178" s="26" t="n">
        <f aca="false">D178*B178/365</f>
        <v>0</v>
      </c>
      <c r="F178" s="25" t="n">
        <f aca="false">F177+E178*(1-IF(D178&gt;0,(IF(A178&gt;Penalty!$B$19,Penalty!$I$5,0)+G177)/D178,0))</f>
        <v>345.789278153858</v>
      </c>
      <c r="G178" s="25" t="n">
        <f aca="false">G177+E178*IF(D178&gt;0,(IF(A178&gt;Penalty!$B$19,Penalty!$I$5,0)+G177)/D178,0)</f>
        <v>46.6815525507708</v>
      </c>
    </row>
    <row r="179" customFormat="false" ht="15" hidden="false" customHeight="false" outlineLevel="0" collapsed="false">
      <c r="A179" s="23" t="n">
        <f aca="false">Penalty!$B$5+175</f>
        <v>46302</v>
      </c>
      <c r="B179" s="24" t="n">
        <f aca="false">IF(YEAR(A179)&gt;2026,Penalty!$B$16/100,IFERROR(INDEX(Rates!$B$4:$E$15,MATCH(YEAR(A179),Rates!$A$4:$A$15,0),ROUNDUP(MONTH(A179)/3,0))/100,0.03))</f>
        <v>0.07</v>
      </c>
      <c r="C179" s="25" t="n">
        <f aca="false">MAX(0,Penalty!$B$4-SUMIFS(Penalty!$C$10:$C$12,Penalty!$B$10:$B$12,"&lt;"&amp;A179))</f>
        <v>12000</v>
      </c>
      <c r="D179" s="25" t="n">
        <f aca="false">IF(A179&lt;=Penalty!$B$8,C179+F178+IF(A179&gt;Penalty!$B$19,Penalty!$I$5,0)+G178,0)</f>
        <v>0</v>
      </c>
      <c r="E179" s="26" t="n">
        <f aca="false">D179*B179/365</f>
        <v>0</v>
      </c>
      <c r="F179" s="25" t="n">
        <f aca="false">F178+E179*(1-IF(D179&gt;0,(IF(A179&gt;Penalty!$B$19,Penalty!$I$5,0)+G178)/D179,0))</f>
        <v>345.789278153858</v>
      </c>
      <c r="G179" s="25" t="n">
        <f aca="false">G178+E179*IF(D179&gt;0,(IF(A179&gt;Penalty!$B$19,Penalty!$I$5,0)+G178)/D179,0)</f>
        <v>46.6815525507708</v>
      </c>
    </row>
    <row r="180" customFormat="false" ht="15" hidden="false" customHeight="false" outlineLevel="0" collapsed="false">
      <c r="A180" s="23" t="n">
        <f aca="false">Penalty!$B$5+176</f>
        <v>46303</v>
      </c>
      <c r="B180" s="24" t="n">
        <f aca="false">IF(YEAR(A180)&gt;2026,Penalty!$B$16/100,IFERROR(INDEX(Rates!$B$4:$E$15,MATCH(YEAR(A180),Rates!$A$4:$A$15,0),ROUNDUP(MONTH(A180)/3,0))/100,0.03))</f>
        <v>0.07</v>
      </c>
      <c r="C180" s="25" t="n">
        <f aca="false">MAX(0,Penalty!$B$4-SUMIFS(Penalty!$C$10:$C$12,Penalty!$B$10:$B$12,"&lt;"&amp;A180))</f>
        <v>12000</v>
      </c>
      <c r="D180" s="25" t="n">
        <f aca="false">IF(A180&lt;=Penalty!$B$8,C180+F179+IF(A180&gt;Penalty!$B$19,Penalty!$I$5,0)+G179,0)</f>
        <v>0</v>
      </c>
      <c r="E180" s="26" t="n">
        <f aca="false">D180*B180/365</f>
        <v>0</v>
      </c>
      <c r="F180" s="25" t="n">
        <f aca="false">F179+E180*(1-IF(D180&gt;0,(IF(A180&gt;Penalty!$B$19,Penalty!$I$5,0)+G179)/D180,0))</f>
        <v>345.789278153858</v>
      </c>
      <c r="G180" s="25" t="n">
        <f aca="false">G179+E180*IF(D180&gt;0,(IF(A180&gt;Penalty!$B$19,Penalty!$I$5,0)+G179)/D180,0)</f>
        <v>46.6815525507708</v>
      </c>
    </row>
    <row r="181" customFormat="false" ht="15" hidden="false" customHeight="false" outlineLevel="0" collapsed="false">
      <c r="A181" s="23" t="n">
        <f aca="false">Penalty!$B$5+177</f>
        <v>46304</v>
      </c>
      <c r="B181" s="24" t="n">
        <f aca="false">IF(YEAR(A181)&gt;2026,Penalty!$B$16/100,IFERROR(INDEX(Rates!$B$4:$E$15,MATCH(YEAR(A181),Rates!$A$4:$A$15,0),ROUNDUP(MONTH(A181)/3,0))/100,0.03))</f>
        <v>0.07</v>
      </c>
      <c r="C181" s="25" t="n">
        <f aca="false">MAX(0,Penalty!$B$4-SUMIFS(Penalty!$C$10:$C$12,Penalty!$B$10:$B$12,"&lt;"&amp;A181))</f>
        <v>12000</v>
      </c>
      <c r="D181" s="25" t="n">
        <f aca="false">IF(A181&lt;=Penalty!$B$8,C181+F180+IF(A181&gt;Penalty!$B$19,Penalty!$I$5,0)+G180,0)</f>
        <v>0</v>
      </c>
      <c r="E181" s="26" t="n">
        <f aca="false">D181*B181/365</f>
        <v>0</v>
      </c>
      <c r="F181" s="25" t="n">
        <f aca="false">F180+E181*(1-IF(D181&gt;0,(IF(A181&gt;Penalty!$B$19,Penalty!$I$5,0)+G180)/D181,0))</f>
        <v>345.789278153858</v>
      </c>
      <c r="G181" s="25" t="n">
        <f aca="false">G180+E181*IF(D181&gt;0,(IF(A181&gt;Penalty!$B$19,Penalty!$I$5,0)+G180)/D181,0)</f>
        <v>46.6815525507708</v>
      </c>
    </row>
    <row r="182" customFormat="false" ht="15" hidden="false" customHeight="false" outlineLevel="0" collapsed="false">
      <c r="A182" s="23" t="n">
        <f aca="false">Penalty!$B$5+178</f>
        <v>46305</v>
      </c>
      <c r="B182" s="24" t="n">
        <f aca="false">IF(YEAR(A182)&gt;2026,Penalty!$B$16/100,IFERROR(INDEX(Rates!$B$4:$E$15,MATCH(YEAR(A182),Rates!$A$4:$A$15,0),ROUNDUP(MONTH(A182)/3,0))/100,0.03))</f>
        <v>0.07</v>
      </c>
      <c r="C182" s="25" t="n">
        <f aca="false">MAX(0,Penalty!$B$4-SUMIFS(Penalty!$C$10:$C$12,Penalty!$B$10:$B$12,"&lt;"&amp;A182))</f>
        <v>12000</v>
      </c>
      <c r="D182" s="25" t="n">
        <f aca="false">IF(A182&lt;=Penalty!$B$8,C182+F181+IF(A182&gt;Penalty!$B$19,Penalty!$I$5,0)+G181,0)</f>
        <v>0</v>
      </c>
      <c r="E182" s="26" t="n">
        <f aca="false">D182*B182/365</f>
        <v>0</v>
      </c>
      <c r="F182" s="25" t="n">
        <f aca="false">F181+E182*(1-IF(D182&gt;0,(IF(A182&gt;Penalty!$B$19,Penalty!$I$5,0)+G181)/D182,0))</f>
        <v>345.789278153858</v>
      </c>
      <c r="G182" s="25" t="n">
        <f aca="false">G181+E182*IF(D182&gt;0,(IF(A182&gt;Penalty!$B$19,Penalty!$I$5,0)+G181)/D182,0)</f>
        <v>46.6815525507708</v>
      </c>
    </row>
    <row r="183" customFormat="false" ht="15" hidden="false" customHeight="false" outlineLevel="0" collapsed="false">
      <c r="A183" s="23" t="n">
        <f aca="false">Penalty!$B$5+179</f>
        <v>46306</v>
      </c>
      <c r="B183" s="24" t="n">
        <f aca="false">IF(YEAR(A183)&gt;2026,Penalty!$B$16/100,IFERROR(INDEX(Rates!$B$4:$E$15,MATCH(YEAR(A183),Rates!$A$4:$A$15,0),ROUNDUP(MONTH(A183)/3,0))/100,0.03))</f>
        <v>0.07</v>
      </c>
      <c r="C183" s="25" t="n">
        <f aca="false">MAX(0,Penalty!$B$4-SUMIFS(Penalty!$C$10:$C$12,Penalty!$B$10:$B$12,"&lt;"&amp;A183))</f>
        <v>12000</v>
      </c>
      <c r="D183" s="25" t="n">
        <f aca="false">IF(A183&lt;=Penalty!$B$8,C183+F182+IF(A183&gt;Penalty!$B$19,Penalty!$I$5,0)+G182,0)</f>
        <v>0</v>
      </c>
      <c r="E183" s="26" t="n">
        <f aca="false">D183*B183/365</f>
        <v>0</v>
      </c>
      <c r="F183" s="25" t="n">
        <f aca="false">F182+E183*(1-IF(D183&gt;0,(IF(A183&gt;Penalty!$B$19,Penalty!$I$5,0)+G182)/D183,0))</f>
        <v>345.789278153858</v>
      </c>
      <c r="G183" s="25" t="n">
        <f aca="false">G182+E183*IF(D183&gt;0,(IF(A183&gt;Penalty!$B$19,Penalty!$I$5,0)+G182)/D183,0)</f>
        <v>46.6815525507708</v>
      </c>
    </row>
    <row r="184" customFormat="false" ht="15" hidden="false" customHeight="false" outlineLevel="0" collapsed="false">
      <c r="A184" s="23" t="n">
        <f aca="false">Penalty!$B$5+180</f>
        <v>46307</v>
      </c>
      <c r="B184" s="24" t="n">
        <f aca="false">IF(YEAR(A184)&gt;2026,Penalty!$B$16/100,IFERROR(INDEX(Rates!$B$4:$E$15,MATCH(YEAR(A184),Rates!$A$4:$A$15,0),ROUNDUP(MONTH(A184)/3,0))/100,0.03))</f>
        <v>0.07</v>
      </c>
      <c r="C184" s="25" t="n">
        <f aca="false">MAX(0,Penalty!$B$4-SUMIFS(Penalty!$C$10:$C$12,Penalty!$B$10:$B$12,"&lt;"&amp;A184))</f>
        <v>12000</v>
      </c>
      <c r="D184" s="25" t="n">
        <f aca="false">IF(A184&lt;=Penalty!$B$8,C184+F183+IF(A184&gt;Penalty!$B$19,Penalty!$I$5,0)+G183,0)</f>
        <v>0</v>
      </c>
      <c r="E184" s="26" t="n">
        <f aca="false">D184*B184/365</f>
        <v>0</v>
      </c>
      <c r="F184" s="25" t="n">
        <f aca="false">F183+E184*(1-IF(D184&gt;0,(IF(A184&gt;Penalty!$B$19,Penalty!$I$5,0)+G183)/D184,0))</f>
        <v>345.789278153858</v>
      </c>
      <c r="G184" s="25" t="n">
        <f aca="false">G183+E184*IF(D184&gt;0,(IF(A184&gt;Penalty!$B$19,Penalty!$I$5,0)+G183)/D184,0)</f>
        <v>46.6815525507708</v>
      </c>
    </row>
    <row r="185" customFormat="false" ht="15" hidden="false" customHeight="false" outlineLevel="0" collapsed="false">
      <c r="A185" s="23" t="n">
        <f aca="false">Penalty!$B$5+181</f>
        <v>46308</v>
      </c>
      <c r="B185" s="24" t="n">
        <f aca="false">IF(YEAR(A185)&gt;2026,Penalty!$B$16/100,IFERROR(INDEX(Rates!$B$4:$E$15,MATCH(YEAR(A185),Rates!$A$4:$A$15,0),ROUNDUP(MONTH(A185)/3,0))/100,0.03))</f>
        <v>0.07</v>
      </c>
      <c r="C185" s="25" t="n">
        <f aca="false">MAX(0,Penalty!$B$4-SUMIFS(Penalty!$C$10:$C$12,Penalty!$B$10:$B$12,"&lt;"&amp;A185))</f>
        <v>12000</v>
      </c>
      <c r="D185" s="25" t="n">
        <f aca="false">IF(A185&lt;=Penalty!$B$8,C185+F184+IF(A185&gt;Penalty!$B$19,Penalty!$I$5,0)+G184,0)</f>
        <v>0</v>
      </c>
      <c r="E185" s="26" t="n">
        <f aca="false">D185*B185/365</f>
        <v>0</v>
      </c>
      <c r="F185" s="25" t="n">
        <f aca="false">F184+E185*(1-IF(D185&gt;0,(IF(A185&gt;Penalty!$B$19,Penalty!$I$5,0)+G184)/D185,0))</f>
        <v>345.789278153858</v>
      </c>
      <c r="G185" s="25" t="n">
        <f aca="false">G184+E185*IF(D185&gt;0,(IF(A185&gt;Penalty!$B$19,Penalty!$I$5,0)+G184)/D185,0)</f>
        <v>46.6815525507708</v>
      </c>
    </row>
    <row r="186" customFormat="false" ht="15" hidden="false" customHeight="false" outlineLevel="0" collapsed="false">
      <c r="A186" s="23" t="n">
        <f aca="false">Penalty!$B$5+182</f>
        <v>46309</v>
      </c>
      <c r="B186" s="24" t="n">
        <f aca="false">IF(YEAR(A186)&gt;2026,Penalty!$B$16/100,IFERROR(INDEX(Rates!$B$4:$E$15,MATCH(YEAR(A186),Rates!$A$4:$A$15,0),ROUNDUP(MONTH(A186)/3,0))/100,0.03))</f>
        <v>0.07</v>
      </c>
      <c r="C186" s="25" t="n">
        <f aca="false">MAX(0,Penalty!$B$4-SUMIFS(Penalty!$C$10:$C$12,Penalty!$B$10:$B$12,"&lt;"&amp;A186))</f>
        <v>12000</v>
      </c>
      <c r="D186" s="25" t="n">
        <f aca="false">IF(A186&lt;=Penalty!$B$8,C186+F185+IF(A186&gt;Penalty!$B$19,Penalty!$I$5,0)+G185,0)</f>
        <v>0</v>
      </c>
      <c r="E186" s="26" t="n">
        <f aca="false">D186*B186/365</f>
        <v>0</v>
      </c>
      <c r="F186" s="25" t="n">
        <f aca="false">F185+E186*(1-IF(D186&gt;0,(IF(A186&gt;Penalty!$B$19,Penalty!$I$5,0)+G185)/D186,0))</f>
        <v>345.789278153858</v>
      </c>
      <c r="G186" s="25" t="n">
        <f aca="false">G185+E186*IF(D186&gt;0,(IF(A186&gt;Penalty!$B$19,Penalty!$I$5,0)+G185)/D186,0)</f>
        <v>46.6815525507708</v>
      </c>
    </row>
    <row r="187" customFormat="false" ht="15" hidden="false" customHeight="false" outlineLevel="0" collapsed="false">
      <c r="A187" s="23" t="n">
        <f aca="false">Penalty!$B$5+183</f>
        <v>46310</v>
      </c>
      <c r="B187" s="24" t="n">
        <f aca="false">IF(YEAR(A187)&gt;2026,Penalty!$B$16/100,IFERROR(INDEX(Rates!$B$4:$E$15,MATCH(YEAR(A187),Rates!$A$4:$A$15,0),ROUNDUP(MONTH(A187)/3,0))/100,0.03))</f>
        <v>0.07</v>
      </c>
      <c r="C187" s="25" t="n">
        <f aca="false">MAX(0,Penalty!$B$4-SUMIFS(Penalty!$C$10:$C$12,Penalty!$B$10:$B$12,"&lt;"&amp;A187))</f>
        <v>12000</v>
      </c>
      <c r="D187" s="25" t="n">
        <f aca="false">IF(A187&lt;=Penalty!$B$8,C187+F186+IF(A187&gt;Penalty!$B$19,Penalty!$I$5,0)+G186,0)</f>
        <v>0</v>
      </c>
      <c r="E187" s="26" t="n">
        <f aca="false">D187*B187/365</f>
        <v>0</v>
      </c>
      <c r="F187" s="25" t="n">
        <f aca="false">F186+E187*(1-IF(D187&gt;0,(IF(A187&gt;Penalty!$B$19,Penalty!$I$5,0)+G186)/D187,0))</f>
        <v>345.789278153858</v>
      </c>
      <c r="G187" s="25" t="n">
        <f aca="false">G186+E187*IF(D187&gt;0,(IF(A187&gt;Penalty!$B$19,Penalty!$I$5,0)+G186)/D187,0)</f>
        <v>46.6815525507708</v>
      </c>
    </row>
    <row r="188" customFormat="false" ht="15" hidden="false" customHeight="false" outlineLevel="0" collapsed="false">
      <c r="A188" s="23" t="n">
        <f aca="false">Penalty!$B$5+184</f>
        <v>46311</v>
      </c>
      <c r="B188" s="24" t="n">
        <f aca="false">IF(YEAR(A188)&gt;2026,Penalty!$B$16/100,IFERROR(INDEX(Rates!$B$4:$E$15,MATCH(YEAR(A188),Rates!$A$4:$A$15,0),ROUNDUP(MONTH(A188)/3,0))/100,0.03))</f>
        <v>0.07</v>
      </c>
      <c r="C188" s="25" t="n">
        <f aca="false">MAX(0,Penalty!$B$4-SUMIFS(Penalty!$C$10:$C$12,Penalty!$B$10:$B$12,"&lt;"&amp;A188))</f>
        <v>12000</v>
      </c>
      <c r="D188" s="25" t="n">
        <f aca="false">IF(A188&lt;=Penalty!$B$8,C188+F187+IF(A188&gt;Penalty!$B$19,Penalty!$I$5,0)+G187,0)</f>
        <v>0</v>
      </c>
      <c r="E188" s="26" t="n">
        <f aca="false">D188*B188/365</f>
        <v>0</v>
      </c>
      <c r="F188" s="25" t="n">
        <f aca="false">F187+E188*(1-IF(D188&gt;0,(IF(A188&gt;Penalty!$B$19,Penalty!$I$5,0)+G187)/D188,0))</f>
        <v>345.789278153858</v>
      </c>
      <c r="G188" s="25" t="n">
        <f aca="false">G187+E188*IF(D188&gt;0,(IF(A188&gt;Penalty!$B$19,Penalty!$I$5,0)+G187)/D188,0)</f>
        <v>46.6815525507708</v>
      </c>
    </row>
    <row r="189" customFormat="false" ht="15" hidden="false" customHeight="false" outlineLevel="0" collapsed="false">
      <c r="A189" s="23" t="n">
        <f aca="false">Penalty!$B$5+185</f>
        <v>46312</v>
      </c>
      <c r="B189" s="24" t="n">
        <f aca="false">IF(YEAR(A189)&gt;2026,Penalty!$B$16/100,IFERROR(INDEX(Rates!$B$4:$E$15,MATCH(YEAR(A189),Rates!$A$4:$A$15,0),ROUNDUP(MONTH(A189)/3,0))/100,0.03))</f>
        <v>0.07</v>
      </c>
      <c r="C189" s="25" t="n">
        <f aca="false">MAX(0,Penalty!$B$4-SUMIFS(Penalty!$C$10:$C$12,Penalty!$B$10:$B$12,"&lt;"&amp;A189))</f>
        <v>12000</v>
      </c>
      <c r="D189" s="25" t="n">
        <f aca="false">IF(A189&lt;=Penalty!$B$8,C189+F188+IF(A189&gt;Penalty!$B$19,Penalty!$I$5,0)+G188,0)</f>
        <v>0</v>
      </c>
      <c r="E189" s="26" t="n">
        <f aca="false">D189*B189/365</f>
        <v>0</v>
      </c>
      <c r="F189" s="25" t="n">
        <f aca="false">F188+E189*(1-IF(D189&gt;0,(IF(A189&gt;Penalty!$B$19,Penalty!$I$5,0)+G188)/D189,0))</f>
        <v>345.789278153858</v>
      </c>
      <c r="G189" s="25" t="n">
        <f aca="false">G188+E189*IF(D189&gt;0,(IF(A189&gt;Penalty!$B$19,Penalty!$I$5,0)+G188)/D189,0)</f>
        <v>46.6815525507708</v>
      </c>
    </row>
    <row r="190" customFormat="false" ht="15" hidden="false" customHeight="false" outlineLevel="0" collapsed="false">
      <c r="A190" s="23" t="n">
        <f aca="false">Penalty!$B$5+186</f>
        <v>46313</v>
      </c>
      <c r="B190" s="24" t="n">
        <f aca="false">IF(YEAR(A190)&gt;2026,Penalty!$B$16/100,IFERROR(INDEX(Rates!$B$4:$E$15,MATCH(YEAR(A190),Rates!$A$4:$A$15,0),ROUNDUP(MONTH(A190)/3,0))/100,0.03))</f>
        <v>0.07</v>
      </c>
      <c r="C190" s="25" t="n">
        <f aca="false">MAX(0,Penalty!$B$4-SUMIFS(Penalty!$C$10:$C$12,Penalty!$B$10:$B$12,"&lt;"&amp;A190))</f>
        <v>12000</v>
      </c>
      <c r="D190" s="25" t="n">
        <f aca="false">IF(A190&lt;=Penalty!$B$8,C190+F189+IF(A190&gt;Penalty!$B$19,Penalty!$I$5,0)+G189,0)</f>
        <v>0</v>
      </c>
      <c r="E190" s="26" t="n">
        <f aca="false">D190*B190/365</f>
        <v>0</v>
      </c>
      <c r="F190" s="25" t="n">
        <f aca="false">F189+E190*(1-IF(D190&gt;0,(IF(A190&gt;Penalty!$B$19,Penalty!$I$5,0)+G189)/D190,0))</f>
        <v>345.789278153858</v>
      </c>
      <c r="G190" s="25" t="n">
        <f aca="false">G189+E190*IF(D190&gt;0,(IF(A190&gt;Penalty!$B$19,Penalty!$I$5,0)+G189)/D190,0)</f>
        <v>46.6815525507708</v>
      </c>
    </row>
    <row r="191" customFormat="false" ht="15" hidden="false" customHeight="false" outlineLevel="0" collapsed="false">
      <c r="A191" s="23" t="n">
        <f aca="false">Penalty!$B$5+187</f>
        <v>46314</v>
      </c>
      <c r="B191" s="24" t="n">
        <f aca="false">IF(YEAR(A191)&gt;2026,Penalty!$B$16/100,IFERROR(INDEX(Rates!$B$4:$E$15,MATCH(YEAR(A191),Rates!$A$4:$A$15,0),ROUNDUP(MONTH(A191)/3,0))/100,0.03))</f>
        <v>0.07</v>
      </c>
      <c r="C191" s="25" t="n">
        <f aca="false">MAX(0,Penalty!$B$4-SUMIFS(Penalty!$C$10:$C$12,Penalty!$B$10:$B$12,"&lt;"&amp;A191))</f>
        <v>12000</v>
      </c>
      <c r="D191" s="25" t="n">
        <f aca="false">IF(A191&lt;=Penalty!$B$8,C191+F190+IF(A191&gt;Penalty!$B$19,Penalty!$I$5,0)+G190,0)</f>
        <v>0</v>
      </c>
      <c r="E191" s="26" t="n">
        <f aca="false">D191*B191/365</f>
        <v>0</v>
      </c>
      <c r="F191" s="25" t="n">
        <f aca="false">F190+E191*(1-IF(D191&gt;0,(IF(A191&gt;Penalty!$B$19,Penalty!$I$5,0)+G190)/D191,0))</f>
        <v>345.789278153858</v>
      </c>
      <c r="G191" s="25" t="n">
        <f aca="false">G190+E191*IF(D191&gt;0,(IF(A191&gt;Penalty!$B$19,Penalty!$I$5,0)+G190)/D191,0)</f>
        <v>46.6815525507708</v>
      </c>
    </row>
    <row r="192" customFormat="false" ht="15" hidden="false" customHeight="false" outlineLevel="0" collapsed="false">
      <c r="A192" s="23" t="n">
        <f aca="false">Penalty!$B$5+188</f>
        <v>46315</v>
      </c>
      <c r="B192" s="24" t="n">
        <f aca="false">IF(YEAR(A192)&gt;2026,Penalty!$B$16/100,IFERROR(INDEX(Rates!$B$4:$E$15,MATCH(YEAR(A192),Rates!$A$4:$A$15,0),ROUNDUP(MONTH(A192)/3,0))/100,0.03))</f>
        <v>0.07</v>
      </c>
      <c r="C192" s="25" t="n">
        <f aca="false">MAX(0,Penalty!$B$4-SUMIFS(Penalty!$C$10:$C$12,Penalty!$B$10:$B$12,"&lt;"&amp;A192))</f>
        <v>12000</v>
      </c>
      <c r="D192" s="25" t="n">
        <f aca="false">IF(A192&lt;=Penalty!$B$8,C192+F191+IF(A192&gt;Penalty!$B$19,Penalty!$I$5,0)+G191,0)</f>
        <v>0</v>
      </c>
      <c r="E192" s="26" t="n">
        <f aca="false">D192*B192/365</f>
        <v>0</v>
      </c>
      <c r="F192" s="25" t="n">
        <f aca="false">F191+E192*(1-IF(D192&gt;0,(IF(A192&gt;Penalty!$B$19,Penalty!$I$5,0)+G191)/D192,0))</f>
        <v>345.789278153858</v>
      </c>
      <c r="G192" s="25" t="n">
        <f aca="false">G191+E192*IF(D192&gt;0,(IF(A192&gt;Penalty!$B$19,Penalty!$I$5,0)+G191)/D192,0)</f>
        <v>46.6815525507708</v>
      </c>
    </row>
    <row r="193" customFormat="false" ht="15" hidden="false" customHeight="false" outlineLevel="0" collapsed="false">
      <c r="A193" s="23" t="n">
        <f aca="false">Penalty!$B$5+189</f>
        <v>46316</v>
      </c>
      <c r="B193" s="24" t="n">
        <f aca="false">IF(YEAR(A193)&gt;2026,Penalty!$B$16/100,IFERROR(INDEX(Rates!$B$4:$E$15,MATCH(YEAR(A193),Rates!$A$4:$A$15,0),ROUNDUP(MONTH(A193)/3,0))/100,0.03))</f>
        <v>0.07</v>
      </c>
      <c r="C193" s="25" t="n">
        <f aca="false">MAX(0,Penalty!$B$4-SUMIFS(Penalty!$C$10:$C$12,Penalty!$B$10:$B$12,"&lt;"&amp;A193))</f>
        <v>12000</v>
      </c>
      <c r="D193" s="25" t="n">
        <f aca="false">IF(A193&lt;=Penalty!$B$8,C193+F192+IF(A193&gt;Penalty!$B$19,Penalty!$I$5,0)+G192,0)</f>
        <v>0</v>
      </c>
      <c r="E193" s="26" t="n">
        <f aca="false">D193*B193/365</f>
        <v>0</v>
      </c>
      <c r="F193" s="25" t="n">
        <f aca="false">F192+E193*(1-IF(D193&gt;0,(IF(A193&gt;Penalty!$B$19,Penalty!$I$5,0)+G192)/D193,0))</f>
        <v>345.789278153858</v>
      </c>
      <c r="G193" s="25" t="n">
        <f aca="false">G192+E193*IF(D193&gt;0,(IF(A193&gt;Penalty!$B$19,Penalty!$I$5,0)+G192)/D193,0)</f>
        <v>46.6815525507708</v>
      </c>
    </row>
    <row r="194" customFormat="false" ht="15" hidden="false" customHeight="false" outlineLevel="0" collapsed="false">
      <c r="A194" s="23" t="n">
        <f aca="false">Penalty!$B$5+190</f>
        <v>46317</v>
      </c>
      <c r="B194" s="24" t="n">
        <f aca="false">IF(YEAR(A194)&gt;2026,Penalty!$B$16/100,IFERROR(INDEX(Rates!$B$4:$E$15,MATCH(YEAR(A194),Rates!$A$4:$A$15,0),ROUNDUP(MONTH(A194)/3,0))/100,0.03))</f>
        <v>0.07</v>
      </c>
      <c r="C194" s="25" t="n">
        <f aca="false">MAX(0,Penalty!$B$4-SUMIFS(Penalty!$C$10:$C$12,Penalty!$B$10:$B$12,"&lt;"&amp;A194))</f>
        <v>12000</v>
      </c>
      <c r="D194" s="25" t="n">
        <f aca="false">IF(A194&lt;=Penalty!$B$8,C194+F193+IF(A194&gt;Penalty!$B$19,Penalty!$I$5,0)+G193,0)</f>
        <v>0</v>
      </c>
      <c r="E194" s="26" t="n">
        <f aca="false">D194*B194/365</f>
        <v>0</v>
      </c>
      <c r="F194" s="25" t="n">
        <f aca="false">F193+E194*(1-IF(D194&gt;0,(IF(A194&gt;Penalty!$B$19,Penalty!$I$5,0)+G193)/D194,0))</f>
        <v>345.789278153858</v>
      </c>
      <c r="G194" s="25" t="n">
        <f aca="false">G193+E194*IF(D194&gt;0,(IF(A194&gt;Penalty!$B$19,Penalty!$I$5,0)+G193)/D194,0)</f>
        <v>46.6815525507708</v>
      </c>
    </row>
    <row r="195" customFormat="false" ht="15" hidden="false" customHeight="false" outlineLevel="0" collapsed="false">
      <c r="A195" s="23" t="n">
        <f aca="false">Penalty!$B$5+191</f>
        <v>46318</v>
      </c>
      <c r="B195" s="24" t="n">
        <f aca="false">IF(YEAR(A195)&gt;2026,Penalty!$B$16/100,IFERROR(INDEX(Rates!$B$4:$E$15,MATCH(YEAR(A195),Rates!$A$4:$A$15,0),ROUNDUP(MONTH(A195)/3,0))/100,0.03))</f>
        <v>0.07</v>
      </c>
      <c r="C195" s="25" t="n">
        <f aca="false">MAX(0,Penalty!$B$4-SUMIFS(Penalty!$C$10:$C$12,Penalty!$B$10:$B$12,"&lt;"&amp;A195))</f>
        <v>12000</v>
      </c>
      <c r="D195" s="25" t="n">
        <f aca="false">IF(A195&lt;=Penalty!$B$8,C195+F194+IF(A195&gt;Penalty!$B$19,Penalty!$I$5,0)+G194,0)</f>
        <v>0</v>
      </c>
      <c r="E195" s="26" t="n">
        <f aca="false">D195*B195/365</f>
        <v>0</v>
      </c>
      <c r="F195" s="25" t="n">
        <f aca="false">F194+E195*(1-IF(D195&gt;0,(IF(A195&gt;Penalty!$B$19,Penalty!$I$5,0)+G194)/D195,0))</f>
        <v>345.789278153858</v>
      </c>
      <c r="G195" s="25" t="n">
        <f aca="false">G194+E195*IF(D195&gt;0,(IF(A195&gt;Penalty!$B$19,Penalty!$I$5,0)+G194)/D195,0)</f>
        <v>46.6815525507708</v>
      </c>
    </row>
    <row r="196" customFormat="false" ht="15" hidden="false" customHeight="false" outlineLevel="0" collapsed="false">
      <c r="A196" s="23" t="n">
        <f aca="false">Penalty!$B$5+192</f>
        <v>46319</v>
      </c>
      <c r="B196" s="24" t="n">
        <f aca="false">IF(YEAR(A196)&gt;2026,Penalty!$B$16/100,IFERROR(INDEX(Rates!$B$4:$E$15,MATCH(YEAR(A196),Rates!$A$4:$A$15,0),ROUNDUP(MONTH(A196)/3,0))/100,0.03))</f>
        <v>0.07</v>
      </c>
      <c r="C196" s="25" t="n">
        <f aca="false">MAX(0,Penalty!$B$4-SUMIFS(Penalty!$C$10:$C$12,Penalty!$B$10:$B$12,"&lt;"&amp;A196))</f>
        <v>12000</v>
      </c>
      <c r="D196" s="25" t="n">
        <f aca="false">IF(A196&lt;=Penalty!$B$8,C196+F195+IF(A196&gt;Penalty!$B$19,Penalty!$I$5,0)+G195,0)</f>
        <v>0</v>
      </c>
      <c r="E196" s="26" t="n">
        <f aca="false">D196*B196/365</f>
        <v>0</v>
      </c>
      <c r="F196" s="25" t="n">
        <f aca="false">F195+E196*(1-IF(D196&gt;0,(IF(A196&gt;Penalty!$B$19,Penalty!$I$5,0)+G195)/D196,0))</f>
        <v>345.789278153858</v>
      </c>
      <c r="G196" s="25" t="n">
        <f aca="false">G195+E196*IF(D196&gt;0,(IF(A196&gt;Penalty!$B$19,Penalty!$I$5,0)+G195)/D196,0)</f>
        <v>46.6815525507708</v>
      </c>
    </row>
    <row r="197" customFormat="false" ht="15" hidden="false" customHeight="false" outlineLevel="0" collapsed="false">
      <c r="A197" s="23" t="n">
        <f aca="false">Penalty!$B$5+193</f>
        <v>46320</v>
      </c>
      <c r="B197" s="24" t="n">
        <f aca="false">IF(YEAR(A197)&gt;2026,Penalty!$B$16/100,IFERROR(INDEX(Rates!$B$4:$E$15,MATCH(YEAR(A197),Rates!$A$4:$A$15,0),ROUNDUP(MONTH(A197)/3,0))/100,0.03))</f>
        <v>0.07</v>
      </c>
      <c r="C197" s="25" t="n">
        <f aca="false">MAX(0,Penalty!$B$4-SUMIFS(Penalty!$C$10:$C$12,Penalty!$B$10:$B$12,"&lt;"&amp;A197))</f>
        <v>12000</v>
      </c>
      <c r="D197" s="25" t="n">
        <f aca="false">IF(A197&lt;=Penalty!$B$8,C197+F196+IF(A197&gt;Penalty!$B$19,Penalty!$I$5,0)+G196,0)</f>
        <v>0</v>
      </c>
      <c r="E197" s="26" t="n">
        <f aca="false">D197*B197/365</f>
        <v>0</v>
      </c>
      <c r="F197" s="25" t="n">
        <f aca="false">F196+E197*(1-IF(D197&gt;0,(IF(A197&gt;Penalty!$B$19,Penalty!$I$5,0)+G196)/D197,0))</f>
        <v>345.789278153858</v>
      </c>
      <c r="G197" s="25" t="n">
        <f aca="false">G196+E197*IF(D197&gt;0,(IF(A197&gt;Penalty!$B$19,Penalty!$I$5,0)+G196)/D197,0)</f>
        <v>46.6815525507708</v>
      </c>
    </row>
    <row r="198" customFormat="false" ht="15" hidden="false" customHeight="false" outlineLevel="0" collapsed="false">
      <c r="A198" s="23" t="n">
        <f aca="false">Penalty!$B$5+194</f>
        <v>46321</v>
      </c>
      <c r="B198" s="24" t="n">
        <f aca="false">IF(YEAR(A198)&gt;2026,Penalty!$B$16/100,IFERROR(INDEX(Rates!$B$4:$E$15,MATCH(YEAR(A198),Rates!$A$4:$A$15,0),ROUNDUP(MONTH(A198)/3,0))/100,0.03))</f>
        <v>0.07</v>
      </c>
      <c r="C198" s="25" t="n">
        <f aca="false">MAX(0,Penalty!$B$4-SUMIFS(Penalty!$C$10:$C$12,Penalty!$B$10:$B$12,"&lt;"&amp;A198))</f>
        <v>12000</v>
      </c>
      <c r="D198" s="25" t="n">
        <f aca="false">IF(A198&lt;=Penalty!$B$8,C198+F197+IF(A198&gt;Penalty!$B$19,Penalty!$I$5,0)+G197,0)</f>
        <v>0</v>
      </c>
      <c r="E198" s="26" t="n">
        <f aca="false">D198*B198/365</f>
        <v>0</v>
      </c>
      <c r="F198" s="25" t="n">
        <f aca="false">F197+E198*(1-IF(D198&gt;0,(IF(A198&gt;Penalty!$B$19,Penalty!$I$5,0)+G197)/D198,0))</f>
        <v>345.789278153858</v>
      </c>
      <c r="G198" s="25" t="n">
        <f aca="false">G197+E198*IF(D198&gt;0,(IF(A198&gt;Penalty!$B$19,Penalty!$I$5,0)+G197)/D198,0)</f>
        <v>46.6815525507708</v>
      </c>
    </row>
    <row r="199" customFormat="false" ht="15" hidden="false" customHeight="false" outlineLevel="0" collapsed="false">
      <c r="A199" s="23" t="n">
        <f aca="false">Penalty!$B$5+195</f>
        <v>46322</v>
      </c>
      <c r="B199" s="24" t="n">
        <f aca="false">IF(YEAR(A199)&gt;2026,Penalty!$B$16/100,IFERROR(INDEX(Rates!$B$4:$E$15,MATCH(YEAR(A199),Rates!$A$4:$A$15,0),ROUNDUP(MONTH(A199)/3,0))/100,0.03))</f>
        <v>0.07</v>
      </c>
      <c r="C199" s="25" t="n">
        <f aca="false">MAX(0,Penalty!$B$4-SUMIFS(Penalty!$C$10:$C$12,Penalty!$B$10:$B$12,"&lt;"&amp;A199))</f>
        <v>12000</v>
      </c>
      <c r="D199" s="25" t="n">
        <f aca="false">IF(A199&lt;=Penalty!$B$8,C199+F198+IF(A199&gt;Penalty!$B$19,Penalty!$I$5,0)+G198,0)</f>
        <v>0</v>
      </c>
      <c r="E199" s="26" t="n">
        <f aca="false">D199*B199/365</f>
        <v>0</v>
      </c>
      <c r="F199" s="25" t="n">
        <f aca="false">F198+E199*(1-IF(D199&gt;0,(IF(A199&gt;Penalty!$B$19,Penalty!$I$5,0)+G198)/D199,0))</f>
        <v>345.789278153858</v>
      </c>
      <c r="G199" s="25" t="n">
        <f aca="false">G198+E199*IF(D199&gt;0,(IF(A199&gt;Penalty!$B$19,Penalty!$I$5,0)+G198)/D199,0)</f>
        <v>46.6815525507708</v>
      </c>
    </row>
    <row r="200" customFormat="false" ht="15" hidden="false" customHeight="false" outlineLevel="0" collapsed="false">
      <c r="A200" s="23" t="n">
        <f aca="false">Penalty!$B$5+196</f>
        <v>46323</v>
      </c>
      <c r="B200" s="24" t="n">
        <f aca="false">IF(YEAR(A200)&gt;2026,Penalty!$B$16/100,IFERROR(INDEX(Rates!$B$4:$E$15,MATCH(YEAR(A200),Rates!$A$4:$A$15,0),ROUNDUP(MONTH(A200)/3,0))/100,0.03))</f>
        <v>0.07</v>
      </c>
      <c r="C200" s="25" t="n">
        <f aca="false">MAX(0,Penalty!$B$4-SUMIFS(Penalty!$C$10:$C$12,Penalty!$B$10:$B$12,"&lt;"&amp;A200))</f>
        <v>12000</v>
      </c>
      <c r="D200" s="25" t="n">
        <f aca="false">IF(A200&lt;=Penalty!$B$8,C200+F199+IF(A200&gt;Penalty!$B$19,Penalty!$I$5,0)+G199,0)</f>
        <v>0</v>
      </c>
      <c r="E200" s="26" t="n">
        <f aca="false">D200*B200/365</f>
        <v>0</v>
      </c>
      <c r="F200" s="25" t="n">
        <f aca="false">F199+E200*(1-IF(D200&gt;0,(IF(A200&gt;Penalty!$B$19,Penalty!$I$5,0)+G199)/D200,0))</f>
        <v>345.789278153858</v>
      </c>
      <c r="G200" s="25" t="n">
        <f aca="false">G199+E200*IF(D200&gt;0,(IF(A200&gt;Penalty!$B$19,Penalty!$I$5,0)+G199)/D200,0)</f>
        <v>46.6815525507708</v>
      </c>
    </row>
    <row r="201" customFormat="false" ht="15" hidden="false" customHeight="false" outlineLevel="0" collapsed="false">
      <c r="A201" s="23" t="n">
        <f aca="false">Penalty!$B$5+197</f>
        <v>46324</v>
      </c>
      <c r="B201" s="24" t="n">
        <f aca="false">IF(YEAR(A201)&gt;2026,Penalty!$B$16/100,IFERROR(INDEX(Rates!$B$4:$E$15,MATCH(YEAR(A201),Rates!$A$4:$A$15,0),ROUNDUP(MONTH(A201)/3,0))/100,0.03))</f>
        <v>0.07</v>
      </c>
      <c r="C201" s="25" t="n">
        <f aca="false">MAX(0,Penalty!$B$4-SUMIFS(Penalty!$C$10:$C$12,Penalty!$B$10:$B$12,"&lt;"&amp;A201))</f>
        <v>12000</v>
      </c>
      <c r="D201" s="25" t="n">
        <f aca="false">IF(A201&lt;=Penalty!$B$8,C201+F200+IF(A201&gt;Penalty!$B$19,Penalty!$I$5,0)+G200,0)</f>
        <v>0</v>
      </c>
      <c r="E201" s="26" t="n">
        <f aca="false">D201*B201/365</f>
        <v>0</v>
      </c>
      <c r="F201" s="25" t="n">
        <f aca="false">F200+E201*(1-IF(D201&gt;0,(IF(A201&gt;Penalty!$B$19,Penalty!$I$5,0)+G200)/D201,0))</f>
        <v>345.789278153858</v>
      </c>
      <c r="G201" s="25" t="n">
        <f aca="false">G200+E201*IF(D201&gt;0,(IF(A201&gt;Penalty!$B$19,Penalty!$I$5,0)+G200)/D201,0)</f>
        <v>46.6815525507708</v>
      </c>
    </row>
    <row r="202" customFormat="false" ht="15" hidden="false" customHeight="false" outlineLevel="0" collapsed="false">
      <c r="A202" s="23" t="n">
        <f aca="false">Penalty!$B$5+198</f>
        <v>46325</v>
      </c>
      <c r="B202" s="24" t="n">
        <f aca="false">IF(YEAR(A202)&gt;2026,Penalty!$B$16/100,IFERROR(INDEX(Rates!$B$4:$E$15,MATCH(YEAR(A202),Rates!$A$4:$A$15,0),ROUNDUP(MONTH(A202)/3,0))/100,0.03))</f>
        <v>0.07</v>
      </c>
      <c r="C202" s="25" t="n">
        <f aca="false">MAX(0,Penalty!$B$4-SUMIFS(Penalty!$C$10:$C$12,Penalty!$B$10:$B$12,"&lt;"&amp;A202))</f>
        <v>12000</v>
      </c>
      <c r="D202" s="25" t="n">
        <f aca="false">IF(A202&lt;=Penalty!$B$8,C202+F201+IF(A202&gt;Penalty!$B$19,Penalty!$I$5,0)+G201,0)</f>
        <v>0</v>
      </c>
      <c r="E202" s="26" t="n">
        <f aca="false">D202*B202/365</f>
        <v>0</v>
      </c>
      <c r="F202" s="25" t="n">
        <f aca="false">F201+E202*(1-IF(D202&gt;0,(IF(A202&gt;Penalty!$B$19,Penalty!$I$5,0)+G201)/D202,0))</f>
        <v>345.789278153858</v>
      </c>
      <c r="G202" s="25" t="n">
        <f aca="false">G201+E202*IF(D202&gt;0,(IF(A202&gt;Penalty!$B$19,Penalty!$I$5,0)+G201)/D202,0)</f>
        <v>46.6815525507708</v>
      </c>
    </row>
    <row r="203" customFormat="false" ht="15" hidden="false" customHeight="false" outlineLevel="0" collapsed="false">
      <c r="A203" s="23" t="n">
        <f aca="false">Penalty!$B$5+199</f>
        <v>46326</v>
      </c>
      <c r="B203" s="24" t="n">
        <f aca="false">IF(YEAR(A203)&gt;2026,Penalty!$B$16/100,IFERROR(INDEX(Rates!$B$4:$E$15,MATCH(YEAR(A203),Rates!$A$4:$A$15,0),ROUNDUP(MONTH(A203)/3,0))/100,0.03))</f>
        <v>0.07</v>
      </c>
      <c r="C203" s="25" t="n">
        <f aca="false">MAX(0,Penalty!$B$4-SUMIFS(Penalty!$C$10:$C$12,Penalty!$B$10:$B$12,"&lt;"&amp;A203))</f>
        <v>12000</v>
      </c>
      <c r="D203" s="25" t="n">
        <f aca="false">IF(A203&lt;=Penalty!$B$8,C203+F202+IF(A203&gt;Penalty!$B$19,Penalty!$I$5,0)+G202,0)</f>
        <v>0</v>
      </c>
      <c r="E203" s="26" t="n">
        <f aca="false">D203*B203/365</f>
        <v>0</v>
      </c>
      <c r="F203" s="25" t="n">
        <f aca="false">F202+E203*(1-IF(D203&gt;0,(IF(A203&gt;Penalty!$B$19,Penalty!$I$5,0)+G202)/D203,0))</f>
        <v>345.789278153858</v>
      </c>
      <c r="G203" s="25" t="n">
        <f aca="false">G202+E203*IF(D203&gt;0,(IF(A203&gt;Penalty!$B$19,Penalty!$I$5,0)+G202)/D203,0)</f>
        <v>46.6815525507708</v>
      </c>
    </row>
    <row r="204" customFormat="false" ht="15" hidden="false" customHeight="false" outlineLevel="0" collapsed="false">
      <c r="A204" s="23" t="n">
        <f aca="false">Penalty!$B$5+200</f>
        <v>46327</v>
      </c>
      <c r="B204" s="24" t="n">
        <f aca="false">IF(YEAR(A204)&gt;2026,Penalty!$B$16/100,IFERROR(INDEX(Rates!$B$4:$E$15,MATCH(YEAR(A204),Rates!$A$4:$A$15,0),ROUNDUP(MONTH(A204)/3,0))/100,0.03))</f>
        <v>0.07</v>
      </c>
      <c r="C204" s="25" t="n">
        <f aca="false">MAX(0,Penalty!$B$4-SUMIFS(Penalty!$C$10:$C$12,Penalty!$B$10:$B$12,"&lt;"&amp;A204))</f>
        <v>12000</v>
      </c>
      <c r="D204" s="25" t="n">
        <f aca="false">IF(A204&lt;=Penalty!$B$8,C204+F203+IF(A204&gt;Penalty!$B$19,Penalty!$I$5,0)+G203,0)</f>
        <v>0</v>
      </c>
      <c r="E204" s="26" t="n">
        <f aca="false">D204*B204/365</f>
        <v>0</v>
      </c>
      <c r="F204" s="25" t="n">
        <f aca="false">F203+E204*(1-IF(D204&gt;0,(IF(A204&gt;Penalty!$B$19,Penalty!$I$5,0)+G203)/D204,0))</f>
        <v>345.789278153858</v>
      </c>
      <c r="G204" s="25" t="n">
        <f aca="false">G203+E204*IF(D204&gt;0,(IF(A204&gt;Penalty!$B$19,Penalty!$I$5,0)+G203)/D204,0)</f>
        <v>46.6815525507708</v>
      </c>
    </row>
    <row r="205" customFormat="false" ht="15" hidden="false" customHeight="false" outlineLevel="0" collapsed="false">
      <c r="A205" s="23" t="n">
        <f aca="false">Penalty!$B$5+201</f>
        <v>46328</v>
      </c>
      <c r="B205" s="24" t="n">
        <f aca="false">IF(YEAR(A205)&gt;2026,Penalty!$B$16/100,IFERROR(INDEX(Rates!$B$4:$E$15,MATCH(YEAR(A205),Rates!$A$4:$A$15,0),ROUNDUP(MONTH(A205)/3,0))/100,0.03))</f>
        <v>0.07</v>
      </c>
      <c r="C205" s="25" t="n">
        <f aca="false">MAX(0,Penalty!$B$4-SUMIFS(Penalty!$C$10:$C$12,Penalty!$B$10:$B$12,"&lt;"&amp;A205))</f>
        <v>12000</v>
      </c>
      <c r="D205" s="25" t="n">
        <f aca="false">IF(A205&lt;=Penalty!$B$8,C205+F204+IF(A205&gt;Penalty!$B$19,Penalty!$I$5,0)+G204,0)</f>
        <v>0</v>
      </c>
      <c r="E205" s="26" t="n">
        <f aca="false">D205*B205/365</f>
        <v>0</v>
      </c>
      <c r="F205" s="25" t="n">
        <f aca="false">F204+E205*(1-IF(D205&gt;0,(IF(A205&gt;Penalty!$B$19,Penalty!$I$5,0)+G204)/D205,0))</f>
        <v>345.789278153858</v>
      </c>
      <c r="G205" s="25" t="n">
        <f aca="false">G204+E205*IF(D205&gt;0,(IF(A205&gt;Penalty!$B$19,Penalty!$I$5,0)+G204)/D205,0)</f>
        <v>46.6815525507708</v>
      </c>
    </row>
    <row r="206" customFormat="false" ht="15" hidden="false" customHeight="false" outlineLevel="0" collapsed="false">
      <c r="A206" s="23" t="n">
        <f aca="false">Penalty!$B$5+202</f>
        <v>46329</v>
      </c>
      <c r="B206" s="24" t="n">
        <f aca="false">IF(YEAR(A206)&gt;2026,Penalty!$B$16/100,IFERROR(INDEX(Rates!$B$4:$E$15,MATCH(YEAR(A206),Rates!$A$4:$A$15,0),ROUNDUP(MONTH(A206)/3,0))/100,0.03))</f>
        <v>0.07</v>
      </c>
      <c r="C206" s="25" t="n">
        <f aca="false">MAX(0,Penalty!$B$4-SUMIFS(Penalty!$C$10:$C$12,Penalty!$B$10:$B$12,"&lt;"&amp;A206))</f>
        <v>12000</v>
      </c>
      <c r="D206" s="25" t="n">
        <f aca="false">IF(A206&lt;=Penalty!$B$8,C206+F205+IF(A206&gt;Penalty!$B$19,Penalty!$I$5,0)+G205,0)</f>
        <v>0</v>
      </c>
      <c r="E206" s="26" t="n">
        <f aca="false">D206*B206/365</f>
        <v>0</v>
      </c>
      <c r="F206" s="25" t="n">
        <f aca="false">F205+E206*(1-IF(D206&gt;0,(IF(A206&gt;Penalty!$B$19,Penalty!$I$5,0)+G205)/D206,0))</f>
        <v>345.789278153858</v>
      </c>
      <c r="G206" s="25" t="n">
        <f aca="false">G205+E206*IF(D206&gt;0,(IF(A206&gt;Penalty!$B$19,Penalty!$I$5,0)+G205)/D206,0)</f>
        <v>46.6815525507708</v>
      </c>
    </row>
    <row r="207" customFormat="false" ht="15" hidden="false" customHeight="false" outlineLevel="0" collapsed="false">
      <c r="A207" s="23" t="n">
        <f aca="false">Penalty!$B$5+203</f>
        <v>46330</v>
      </c>
      <c r="B207" s="24" t="n">
        <f aca="false">IF(YEAR(A207)&gt;2026,Penalty!$B$16/100,IFERROR(INDEX(Rates!$B$4:$E$15,MATCH(YEAR(A207),Rates!$A$4:$A$15,0),ROUNDUP(MONTH(A207)/3,0))/100,0.03))</f>
        <v>0.07</v>
      </c>
      <c r="C207" s="25" t="n">
        <f aca="false">MAX(0,Penalty!$B$4-SUMIFS(Penalty!$C$10:$C$12,Penalty!$B$10:$B$12,"&lt;"&amp;A207))</f>
        <v>12000</v>
      </c>
      <c r="D207" s="25" t="n">
        <f aca="false">IF(A207&lt;=Penalty!$B$8,C207+F206+IF(A207&gt;Penalty!$B$19,Penalty!$I$5,0)+G206,0)</f>
        <v>0</v>
      </c>
      <c r="E207" s="26" t="n">
        <f aca="false">D207*B207/365</f>
        <v>0</v>
      </c>
      <c r="F207" s="25" t="n">
        <f aca="false">F206+E207*(1-IF(D207&gt;0,(IF(A207&gt;Penalty!$B$19,Penalty!$I$5,0)+G206)/D207,0))</f>
        <v>345.789278153858</v>
      </c>
      <c r="G207" s="25" t="n">
        <f aca="false">G206+E207*IF(D207&gt;0,(IF(A207&gt;Penalty!$B$19,Penalty!$I$5,0)+G206)/D207,0)</f>
        <v>46.6815525507708</v>
      </c>
    </row>
    <row r="208" customFormat="false" ht="15" hidden="false" customHeight="false" outlineLevel="0" collapsed="false">
      <c r="A208" s="23" t="n">
        <f aca="false">Penalty!$B$5+204</f>
        <v>46331</v>
      </c>
      <c r="B208" s="24" t="n">
        <f aca="false">IF(YEAR(A208)&gt;2026,Penalty!$B$16/100,IFERROR(INDEX(Rates!$B$4:$E$15,MATCH(YEAR(A208),Rates!$A$4:$A$15,0),ROUNDUP(MONTH(A208)/3,0))/100,0.03))</f>
        <v>0.07</v>
      </c>
      <c r="C208" s="25" t="n">
        <f aca="false">MAX(0,Penalty!$B$4-SUMIFS(Penalty!$C$10:$C$12,Penalty!$B$10:$B$12,"&lt;"&amp;A208))</f>
        <v>12000</v>
      </c>
      <c r="D208" s="25" t="n">
        <f aca="false">IF(A208&lt;=Penalty!$B$8,C208+F207+IF(A208&gt;Penalty!$B$19,Penalty!$I$5,0)+G207,0)</f>
        <v>0</v>
      </c>
      <c r="E208" s="26" t="n">
        <f aca="false">D208*B208/365</f>
        <v>0</v>
      </c>
      <c r="F208" s="25" t="n">
        <f aca="false">F207+E208*(1-IF(D208&gt;0,(IF(A208&gt;Penalty!$B$19,Penalty!$I$5,0)+G207)/D208,0))</f>
        <v>345.789278153858</v>
      </c>
      <c r="G208" s="25" t="n">
        <f aca="false">G207+E208*IF(D208&gt;0,(IF(A208&gt;Penalty!$B$19,Penalty!$I$5,0)+G207)/D208,0)</f>
        <v>46.6815525507708</v>
      </c>
    </row>
    <row r="209" customFormat="false" ht="15" hidden="false" customHeight="false" outlineLevel="0" collapsed="false">
      <c r="A209" s="23" t="n">
        <f aca="false">Penalty!$B$5+205</f>
        <v>46332</v>
      </c>
      <c r="B209" s="24" t="n">
        <f aca="false">IF(YEAR(A209)&gt;2026,Penalty!$B$16/100,IFERROR(INDEX(Rates!$B$4:$E$15,MATCH(YEAR(A209),Rates!$A$4:$A$15,0),ROUNDUP(MONTH(A209)/3,0))/100,0.03))</f>
        <v>0.07</v>
      </c>
      <c r="C209" s="25" t="n">
        <f aca="false">MAX(0,Penalty!$B$4-SUMIFS(Penalty!$C$10:$C$12,Penalty!$B$10:$B$12,"&lt;"&amp;A209))</f>
        <v>12000</v>
      </c>
      <c r="D209" s="25" t="n">
        <f aca="false">IF(A209&lt;=Penalty!$B$8,C209+F208+IF(A209&gt;Penalty!$B$19,Penalty!$I$5,0)+G208,0)</f>
        <v>0</v>
      </c>
      <c r="E209" s="26" t="n">
        <f aca="false">D209*B209/365</f>
        <v>0</v>
      </c>
      <c r="F209" s="25" t="n">
        <f aca="false">F208+E209*(1-IF(D209&gt;0,(IF(A209&gt;Penalty!$B$19,Penalty!$I$5,0)+G208)/D209,0))</f>
        <v>345.789278153858</v>
      </c>
      <c r="G209" s="25" t="n">
        <f aca="false">G208+E209*IF(D209&gt;0,(IF(A209&gt;Penalty!$B$19,Penalty!$I$5,0)+G208)/D209,0)</f>
        <v>46.6815525507708</v>
      </c>
    </row>
    <row r="210" customFormat="false" ht="15" hidden="false" customHeight="false" outlineLevel="0" collapsed="false">
      <c r="A210" s="23" t="n">
        <f aca="false">Penalty!$B$5+206</f>
        <v>46333</v>
      </c>
      <c r="B210" s="24" t="n">
        <f aca="false">IF(YEAR(A210)&gt;2026,Penalty!$B$16/100,IFERROR(INDEX(Rates!$B$4:$E$15,MATCH(YEAR(A210),Rates!$A$4:$A$15,0),ROUNDUP(MONTH(A210)/3,0))/100,0.03))</f>
        <v>0.07</v>
      </c>
      <c r="C210" s="25" t="n">
        <f aca="false">MAX(0,Penalty!$B$4-SUMIFS(Penalty!$C$10:$C$12,Penalty!$B$10:$B$12,"&lt;"&amp;A210))</f>
        <v>12000</v>
      </c>
      <c r="D210" s="25" t="n">
        <f aca="false">IF(A210&lt;=Penalty!$B$8,C210+F209+IF(A210&gt;Penalty!$B$19,Penalty!$I$5,0)+G209,0)</f>
        <v>0</v>
      </c>
      <c r="E210" s="26" t="n">
        <f aca="false">D210*B210/365</f>
        <v>0</v>
      </c>
      <c r="F210" s="25" t="n">
        <f aca="false">F209+E210*(1-IF(D210&gt;0,(IF(A210&gt;Penalty!$B$19,Penalty!$I$5,0)+G209)/D210,0))</f>
        <v>345.789278153858</v>
      </c>
      <c r="G210" s="25" t="n">
        <f aca="false">G209+E210*IF(D210&gt;0,(IF(A210&gt;Penalty!$B$19,Penalty!$I$5,0)+G209)/D210,0)</f>
        <v>46.6815525507708</v>
      </c>
    </row>
    <row r="211" customFormat="false" ht="15" hidden="false" customHeight="false" outlineLevel="0" collapsed="false">
      <c r="A211" s="23" t="n">
        <f aca="false">Penalty!$B$5+207</f>
        <v>46334</v>
      </c>
      <c r="B211" s="24" t="n">
        <f aca="false">IF(YEAR(A211)&gt;2026,Penalty!$B$16/100,IFERROR(INDEX(Rates!$B$4:$E$15,MATCH(YEAR(A211),Rates!$A$4:$A$15,0),ROUNDUP(MONTH(A211)/3,0))/100,0.03))</f>
        <v>0.07</v>
      </c>
      <c r="C211" s="25" t="n">
        <f aca="false">MAX(0,Penalty!$B$4-SUMIFS(Penalty!$C$10:$C$12,Penalty!$B$10:$B$12,"&lt;"&amp;A211))</f>
        <v>12000</v>
      </c>
      <c r="D211" s="25" t="n">
        <f aca="false">IF(A211&lt;=Penalty!$B$8,C211+F210+IF(A211&gt;Penalty!$B$19,Penalty!$I$5,0)+G210,0)</f>
        <v>0</v>
      </c>
      <c r="E211" s="26" t="n">
        <f aca="false">D211*B211/365</f>
        <v>0</v>
      </c>
      <c r="F211" s="25" t="n">
        <f aca="false">F210+E211*(1-IF(D211&gt;0,(IF(A211&gt;Penalty!$B$19,Penalty!$I$5,0)+G210)/D211,0))</f>
        <v>345.789278153858</v>
      </c>
      <c r="G211" s="25" t="n">
        <f aca="false">G210+E211*IF(D211&gt;0,(IF(A211&gt;Penalty!$B$19,Penalty!$I$5,0)+G210)/D211,0)</f>
        <v>46.6815525507708</v>
      </c>
    </row>
    <row r="212" customFormat="false" ht="15" hidden="false" customHeight="false" outlineLevel="0" collapsed="false">
      <c r="A212" s="23" t="n">
        <f aca="false">Penalty!$B$5+208</f>
        <v>46335</v>
      </c>
      <c r="B212" s="24" t="n">
        <f aca="false">IF(YEAR(A212)&gt;2026,Penalty!$B$16/100,IFERROR(INDEX(Rates!$B$4:$E$15,MATCH(YEAR(A212),Rates!$A$4:$A$15,0),ROUNDUP(MONTH(A212)/3,0))/100,0.03))</f>
        <v>0.07</v>
      </c>
      <c r="C212" s="25" t="n">
        <f aca="false">MAX(0,Penalty!$B$4-SUMIFS(Penalty!$C$10:$C$12,Penalty!$B$10:$B$12,"&lt;"&amp;A212))</f>
        <v>12000</v>
      </c>
      <c r="D212" s="25" t="n">
        <f aca="false">IF(A212&lt;=Penalty!$B$8,C212+F211+IF(A212&gt;Penalty!$B$19,Penalty!$I$5,0)+G211,0)</f>
        <v>0</v>
      </c>
      <c r="E212" s="26" t="n">
        <f aca="false">D212*B212/365</f>
        <v>0</v>
      </c>
      <c r="F212" s="25" t="n">
        <f aca="false">F211+E212*(1-IF(D212&gt;0,(IF(A212&gt;Penalty!$B$19,Penalty!$I$5,0)+G211)/D212,0))</f>
        <v>345.789278153858</v>
      </c>
      <c r="G212" s="25" t="n">
        <f aca="false">G211+E212*IF(D212&gt;0,(IF(A212&gt;Penalty!$B$19,Penalty!$I$5,0)+G211)/D212,0)</f>
        <v>46.6815525507708</v>
      </c>
    </row>
    <row r="213" customFormat="false" ht="15" hidden="false" customHeight="false" outlineLevel="0" collapsed="false">
      <c r="A213" s="23" t="n">
        <f aca="false">Penalty!$B$5+209</f>
        <v>46336</v>
      </c>
      <c r="B213" s="24" t="n">
        <f aca="false">IF(YEAR(A213)&gt;2026,Penalty!$B$16/100,IFERROR(INDEX(Rates!$B$4:$E$15,MATCH(YEAR(A213),Rates!$A$4:$A$15,0),ROUNDUP(MONTH(A213)/3,0))/100,0.03))</f>
        <v>0.07</v>
      </c>
      <c r="C213" s="25" t="n">
        <f aca="false">MAX(0,Penalty!$B$4-SUMIFS(Penalty!$C$10:$C$12,Penalty!$B$10:$B$12,"&lt;"&amp;A213))</f>
        <v>12000</v>
      </c>
      <c r="D213" s="25" t="n">
        <f aca="false">IF(A213&lt;=Penalty!$B$8,C213+F212+IF(A213&gt;Penalty!$B$19,Penalty!$I$5,0)+G212,0)</f>
        <v>0</v>
      </c>
      <c r="E213" s="26" t="n">
        <f aca="false">D213*B213/365</f>
        <v>0</v>
      </c>
      <c r="F213" s="25" t="n">
        <f aca="false">F212+E213*(1-IF(D213&gt;0,(IF(A213&gt;Penalty!$B$19,Penalty!$I$5,0)+G212)/D213,0))</f>
        <v>345.789278153858</v>
      </c>
      <c r="G213" s="25" t="n">
        <f aca="false">G212+E213*IF(D213&gt;0,(IF(A213&gt;Penalty!$B$19,Penalty!$I$5,0)+G212)/D213,0)</f>
        <v>46.6815525507708</v>
      </c>
    </row>
    <row r="214" customFormat="false" ht="15" hidden="false" customHeight="false" outlineLevel="0" collapsed="false">
      <c r="A214" s="23" t="n">
        <f aca="false">Penalty!$B$5+210</f>
        <v>46337</v>
      </c>
      <c r="B214" s="24" t="n">
        <f aca="false">IF(YEAR(A214)&gt;2026,Penalty!$B$16/100,IFERROR(INDEX(Rates!$B$4:$E$15,MATCH(YEAR(A214),Rates!$A$4:$A$15,0),ROUNDUP(MONTH(A214)/3,0))/100,0.03))</f>
        <v>0.07</v>
      </c>
      <c r="C214" s="25" t="n">
        <f aca="false">MAX(0,Penalty!$B$4-SUMIFS(Penalty!$C$10:$C$12,Penalty!$B$10:$B$12,"&lt;"&amp;A214))</f>
        <v>12000</v>
      </c>
      <c r="D214" s="25" t="n">
        <f aca="false">IF(A214&lt;=Penalty!$B$8,C214+F213+IF(A214&gt;Penalty!$B$19,Penalty!$I$5,0)+G213,0)</f>
        <v>0</v>
      </c>
      <c r="E214" s="26" t="n">
        <f aca="false">D214*B214/365</f>
        <v>0</v>
      </c>
      <c r="F214" s="25" t="n">
        <f aca="false">F213+E214*(1-IF(D214&gt;0,(IF(A214&gt;Penalty!$B$19,Penalty!$I$5,0)+G213)/D214,0))</f>
        <v>345.789278153858</v>
      </c>
      <c r="G214" s="25" t="n">
        <f aca="false">G213+E214*IF(D214&gt;0,(IF(A214&gt;Penalty!$B$19,Penalty!$I$5,0)+G213)/D214,0)</f>
        <v>46.6815525507708</v>
      </c>
    </row>
    <row r="215" customFormat="false" ht="15" hidden="false" customHeight="false" outlineLevel="0" collapsed="false">
      <c r="A215" s="23" t="n">
        <f aca="false">Penalty!$B$5+211</f>
        <v>46338</v>
      </c>
      <c r="B215" s="24" t="n">
        <f aca="false">IF(YEAR(A215)&gt;2026,Penalty!$B$16/100,IFERROR(INDEX(Rates!$B$4:$E$15,MATCH(YEAR(A215),Rates!$A$4:$A$15,0),ROUNDUP(MONTH(A215)/3,0))/100,0.03))</f>
        <v>0.07</v>
      </c>
      <c r="C215" s="25" t="n">
        <f aca="false">MAX(0,Penalty!$B$4-SUMIFS(Penalty!$C$10:$C$12,Penalty!$B$10:$B$12,"&lt;"&amp;A215))</f>
        <v>12000</v>
      </c>
      <c r="D215" s="25" t="n">
        <f aca="false">IF(A215&lt;=Penalty!$B$8,C215+F214+IF(A215&gt;Penalty!$B$19,Penalty!$I$5,0)+G214,0)</f>
        <v>0</v>
      </c>
      <c r="E215" s="26" t="n">
        <f aca="false">D215*B215/365</f>
        <v>0</v>
      </c>
      <c r="F215" s="25" t="n">
        <f aca="false">F214+E215*(1-IF(D215&gt;0,(IF(A215&gt;Penalty!$B$19,Penalty!$I$5,0)+G214)/D215,0))</f>
        <v>345.789278153858</v>
      </c>
      <c r="G215" s="25" t="n">
        <f aca="false">G214+E215*IF(D215&gt;0,(IF(A215&gt;Penalty!$B$19,Penalty!$I$5,0)+G214)/D215,0)</f>
        <v>46.6815525507708</v>
      </c>
    </row>
    <row r="216" customFormat="false" ht="15" hidden="false" customHeight="false" outlineLevel="0" collapsed="false">
      <c r="A216" s="23" t="n">
        <f aca="false">Penalty!$B$5+212</f>
        <v>46339</v>
      </c>
      <c r="B216" s="24" t="n">
        <f aca="false">IF(YEAR(A216)&gt;2026,Penalty!$B$16/100,IFERROR(INDEX(Rates!$B$4:$E$15,MATCH(YEAR(A216),Rates!$A$4:$A$15,0),ROUNDUP(MONTH(A216)/3,0))/100,0.03))</f>
        <v>0.07</v>
      </c>
      <c r="C216" s="25" t="n">
        <f aca="false">MAX(0,Penalty!$B$4-SUMIFS(Penalty!$C$10:$C$12,Penalty!$B$10:$B$12,"&lt;"&amp;A216))</f>
        <v>12000</v>
      </c>
      <c r="D216" s="25" t="n">
        <f aca="false">IF(A216&lt;=Penalty!$B$8,C216+F215+IF(A216&gt;Penalty!$B$19,Penalty!$I$5,0)+G215,0)</f>
        <v>0</v>
      </c>
      <c r="E216" s="26" t="n">
        <f aca="false">D216*B216/365</f>
        <v>0</v>
      </c>
      <c r="F216" s="25" t="n">
        <f aca="false">F215+E216*(1-IF(D216&gt;0,(IF(A216&gt;Penalty!$B$19,Penalty!$I$5,0)+G215)/D216,0))</f>
        <v>345.789278153858</v>
      </c>
      <c r="G216" s="25" t="n">
        <f aca="false">G215+E216*IF(D216&gt;0,(IF(A216&gt;Penalty!$B$19,Penalty!$I$5,0)+G215)/D216,0)</f>
        <v>46.6815525507708</v>
      </c>
    </row>
    <row r="217" customFormat="false" ht="15" hidden="false" customHeight="false" outlineLevel="0" collapsed="false">
      <c r="A217" s="23" t="n">
        <f aca="false">Penalty!$B$5+213</f>
        <v>46340</v>
      </c>
      <c r="B217" s="24" t="n">
        <f aca="false">IF(YEAR(A217)&gt;2026,Penalty!$B$16/100,IFERROR(INDEX(Rates!$B$4:$E$15,MATCH(YEAR(A217),Rates!$A$4:$A$15,0),ROUNDUP(MONTH(A217)/3,0))/100,0.03))</f>
        <v>0.07</v>
      </c>
      <c r="C217" s="25" t="n">
        <f aca="false">MAX(0,Penalty!$B$4-SUMIFS(Penalty!$C$10:$C$12,Penalty!$B$10:$B$12,"&lt;"&amp;A217))</f>
        <v>12000</v>
      </c>
      <c r="D217" s="25" t="n">
        <f aca="false">IF(A217&lt;=Penalty!$B$8,C217+F216+IF(A217&gt;Penalty!$B$19,Penalty!$I$5,0)+G216,0)</f>
        <v>0</v>
      </c>
      <c r="E217" s="26" t="n">
        <f aca="false">D217*B217/365</f>
        <v>0</v>
      </c>
      <c r="F217" s="25" t="n">
        <f aca="false">F216+E217*(1-IF(D217&gt;0,(IF(A217&gt;Penalty!$B$19,Penalty!$I$5,0)+G216)/D217,0))</f>
        <v>345.789278153858</v>
      </c>
      <c r="G217" s="25" t="n">
        <f aca="false">G216+E217*IF(D217&gt;0,(IF(A217&gt;Penalty!$B$19,Penalty!$I$5,0)+G216)/D217,0)</f>
        <v>46.6815525507708</v>
      </c>
    </row>
    <row r="218" customFormat="false" ht="15" hidden="false" customHeight="false" outlineLevel="0" collapsed="false">
      <c r="A218" s="23" t="n">
        <f aca="false">Penalty!$B$5+214</f>
        <v>46341</v>
      </c>
      <c r="B218" s="24" t="n">
        <f aca="false">IF(YEAR(A218)&gt;2026,Penalty!$B$16/100,IFERROR(INDEX(Rates!$B$4:$E$15,MATCH(YEAR(A218),Rates!$A$4:$A$15,0),ROUNDUP(MONTH(A218)/3,0))/100,0.03))</f>
        <v>0.07</v>
      </c>
      <c r="C218" s="25" t="n">
        <f aca="false">MAX(0,Penalty!$B$4-SUMIFS(Penalty!$C$10:$C$12,Penalty!$B$10:$B$12,"&lt;"&amp;A218))</f>
        <v>12000</v>
      </c>
      <c r="D218" s="25" t="n">
        <f aca="false">IF(A218&lt;=Penalty!$B$8,C218+F217+IF(A218&gt;Penalty!$B$19,Penalty!$I$5,0)+G217,0)</f>
        <v>0</v>
      </c>
      <c r="E218" s="26" t="n">
        <f aca="false">D218*B218/365</f>
        <v>0</v>
      </c>
      <c r="F218" s="25" t="n">
        <f aca="false">F217+E218*(1-IF(D218&gt;0,(IF(A218&gt;Penalty!$B$19,Penalty!$I$5,0)+G217)/D218,0))</f>
        <v>345.789278153858</v>
      </c>
      <c r="G218" s="25" t="n">
        <f aca="false">G217+E218*IF(D218&gt;0,(IF(A218&gt;Penalty!$B$19,Penalty!$I$5,0)+G217)/D218,0)</f>
        <v>46.6815525507708</v>
      </c>
    </row>
    <row r="219" customFormat="false" ht="15" hidden="false" customHeight="false" outlineLevel="0" collapsed="false">
      <c r="A219" s="23" t="n">
        <f aca="false">Penalty!$B$5+215</f>
        <v>46342</v>
      </c>
      <c r="B219" s="24" t="n">
        <f aca="false">IF(YEAR(A219)&gt;2026,Penalty!$B$16/100,IFERROR(INDEX(Rates!$B$4:$E$15,MATCH(YEAR(A219),Rates!$A$4:$A$15,0),ROUNDUP(MONTH(A219)/3,0))/100,0.03))</f>
        <v>0.07</v>
      </c>
      <c r="C219" s="25" t="n">
        <f aca="false">MAX(0,Penalty!$B$4-SUMIFS(Penalty!$C$10:$C$12,Penalty!$B$10:$B$12,"&lt;"&amp;A219))</f>
        <v>12000</v>
      </c>
      <c r="D219" s="25" t="n">
        <f aca="false">IF(A219&lt;=Penalty!$B$8,C219+F218+IF(A219&gt;Penalty!$B$19,Penalty!$I$5,0)+G218,0)</f>
        <v>0</v>
      </c>
      <c r="E219" s="26" t="n">
        <f aca="false">D219*B219/365</f>
        <v>0</v>
      </c>
      <c r="F219" s="25" t="n">
        <f aca="false">F218+E219*(1-IF(D219&gt;0,(IF(A219&gt;Penalty!$B$19,Penalty!$I$5,0)+G218)/D219,0))</f>
        <v>345.789278153858</v>
      </c>
      <c r="G219" s="25" t="n">
        <f aca="false">G218+E219*IF(D219&gt;0,(IF(A219&gt;Penalty!$B$19,Penalty!$I$5,0)+G218)/D219,0)</f>
        <v>46.6815525507708</v>
      </c>
    </row>
    <row r="220" customFormat="false" ht="15" hidden="false" customHeight="false" outlineLevel="0" collapsed="false">
      <c r="A220" s="23" t="n">
        <f aca="false">Penalty!$B$5+216</f>
        <v>46343</v>
      </c>
      <c r="B220" s="24" t="n">
        <f aca="false">IF(YEAR(A220)&gt;2026,Penalty!$B$16/100,IFERROR(INDEX(Rates!$B$4:$E$15,MATCH(YEAR(A220),Rates!$A$4:$A$15,0),ROUNDUP(MONTH(A220)/3,0))/100,0.03))</f>
        <v>0.07</v>
      </c>
      <c r="C220" s="25" t="n">
        <f aca="false">MAX(0,Penalty!$B$4-SUMIFS(Penalty!$C$10:$C$12,Penalty!$B$10:$B$12,"&lt;"&amp;A220))</f>
        <v>12000</v>
      </c>
      <c r="D220" s="25" t="n">
        <f aca="false">IF(A220&lt;=Penalty!$B$8,C220+F219+IF(A220&gt;Penalty!$B$19,Penalty!$I$5,0)+G219,0)</f>
        <v>0</v>
      </c>
      <c r="E220" s="26" t="n">
        <f aca="false">D220*B220/365</f>
        <v>0</v>
      </c>
      <c r="F220" s="25" t="n">
        <f aca="false">F219+E220*(1-IF(D220&gt;0,(IF(A220&gt;Penalty!$B$19,Penalty!$I$5,0)+G219)/D220,0))</f>
        <v>345.789278153858</v>
      </c>
      <c r="G220" s="25" t="n">
        <f aca="false">G219+E220*IF(D220&gt;0,(IF(A220&gt;Penalty!$B$19,Penalty!$I$5,0)+G219)/D220,0)</f>
        <v>46.6815525507708</v>
      </c>
    </row>
    <row r="221" customFormat="false" ht="15" hidden="false" customHeight="false" outlineLevel="0" collapsed="false">
      <c r="A221" s="23" t="n">
        <f aca="false">Penalty!$B$5+217</f>
        <v>46344</v>
      </c>
      <c r="B221" s="24" t="n">
        <f aca="false">IF(YEAR(A221)&gt;2026,Penalty!$B$16/100,IFERROR(INDEX(Rates!$B$4:$E$15,MATCH(YEAR(A221),Rates!$A$4:$A$15,0),ROUNDUP(MONTH(A221)/3,0))/100,0.03))</f>
        <v>0.07</v>
      </c>
      <c r="C221" s="25" t="n">
        <f aca="false">MAX(0,Penalty!$B$4-SUMIFS(Penalty!$C$10:$C$12,Penalty!$B$10:$B$12,"&lt;"&amp;A221))</f>
        <v>12000</v>
      </c>
      <c r="D221" s="25" t="n">
        <f aca="false">IF(A221&lt;=Penalty!$B$8,C221+F220+IF(A221&gt;Penalty!$B$19,Penalty!$I$5,0)+G220,0)</f>
        <v>0</v>
      </c>
      <c r="E221" s="26" t="n">
        <f aca="false">D221*B221/365</f>
        <v>0</v>
      </c>
      <c r="F221" s="25" t="n">
        <f aca="false">F220+E221*(1-IF(D221&gt;0,(IF(A221&gt;Penalty!$B$19,Penalty!$I$5,0)+G220)/D221,0))</f>
        <v>345.789278153858</v>
      </c>
      <c r="G221" s="25" t="n">
        <f aca="false">G220+E221*IF(D221&gt;0,(IF(A221&gt;Penalty!$B$19,Penalty!$I$5,0)+G220)/D221,0)</f>
        <v>46.6815525507708</v>
      </c>
    </row>
    <row r="222" customFormat="false" ht="15" hidden="false" customHeight="false" outlineLevel="0" collapsed="false">
      <c r="A222" s="23" t="n">
        <f aca="false">Penalty!$B$5+218</f>
        <v>46345</v>
      </c>
      <c r="B222" s="24" t="n">
        <f aca="false">IF(YEAR(A222)&gt;2026,Penalty!$B$16/100,IFERROR(INDEX(Rates!$B$4:$E$15,MATCH(YEAR(A222),Rates!$A$4:$A$15,0),ROUNDUP(MONTH(A222)/3,0))/100,0.03))</f>
        <v>0.07</v>
      </c>
      <c r="C222" s="25" t="n">
        <f aca="false">MAX(0,Penalty!$B$4-SUMIFS(Penalty!$C$10:$C$12,Penalty!$B$10:$B$12,"&lt;"&amp;A222))</f>
        <v>12000</v>
      </c>
      <c r="D222" s="25" t="n">
        <f aca="false">IF(A222&lt;=Penalty!$B$8,C222+F221+IF(A222&gt;Penalty!$B$19,Penalty!$I$5,0)+G221,0)</f>
        <v>0</v>
      </c>
      <c r="E222" s="26" t="n">
        <f aca="false">D222*B222/365</f>
        <v>0</v>
      </c>
      <c r="F222" s="25" t="n">
        <f aca="false">F221+E222*(1-IF(D222&gt;0,(IF(A222&gt;Penalty!$B$19,Penalty!$I$5,0)+G221)/D222,0))</f>
        <v>345.789278153858</v>
      </c>
      <c r="G222" s="25" t="n">
        <f aca="false">G221+E222*IF(D222&gt;0,(IF(A222&gt;Penalty!$B$19,Penalty!$I$5,0)+G221)/D222,0)</f>
        <v>46.6815525507708</v>
      </c>
    </row>
    <row r="223" customFormat="false" ht="15" hidden="false" customHeight="false" outlineLevel="0" collapsed="false">
      <c r="A223" s="23" t="n">
        <f aca="false">Penalty!$B$5+219</f>
        <v>46346</v>
      </c>
      <c r="B223" s="24" t="n">
        <f aca="false">IF(YEAR(A223)&gt;2026,Penalty!$B$16/100,IFERROR(INDEX(Rates!$B$4:$E$15,MATCH(YEAR(A223),Rates!$A$4:$A$15,0),ROUNDUP(MONTH(A223)/3,0))/100,0.03))</f>
        <v>0.07</v>
      </c>
      <c r="C223" s="25" t="n">
        <f aca="false">MAX(0,Penalty!$B$4-SUMIFS(Penalty!$C$10:$C$12,Penalty!$B$10:$B$12,"&lt;"&amp;A223))</f>
        <v>12000</v>
      </c>
      <c r="D223" s="25" t="n">
        <f aca="false">IF(A223&lt;=Penalty!$B$8,C223+F222+IF(A223&gt;Penalty!$B$19,Penalty!$I$5,0)+G222,0)</f>
        <v>0</v>
      </c>
      <c r="E223" s="26" t="n">
        <f aca="false">D223*B223/365</f>
        <v>0</v>
      </c>
      <c r="F223" s="25" t="n">
        <f aca="false">F222+E223*(1-IF(D223&gt;0,(IF(A223&gt;Penalty!$B$19,Penalty!$I$5,0)+G222)/D223,0))</f>
        <v>345.789278153858</v>
      </c>
      <c r="G223" s="25" t="n">
        <f aca="false">G222+E223*IF(D223&gt;0,(IF(A223&gt;Penalty!$B$19,Penalty!$I$5,0)+G222)/D223,0)</f>
        <v>46.6815525507708</v>
      </c>
    </row>
    <row r="224" customFormat="false" ht="15" hidden="false" customHeight="false" outlineLevel="0" collapsed="false">
      <c r="A224" s="23" t="n">
        <f aca="false">Penalty!$B$5+220</f>
        <v>46347</v>
      </c>
      <c r="B224" s="24" t="n">
        <f aca="false">IF(YEAR(A224)&gt;2026,Penalty!$B$16/100,IFERROR(INDEX(Rates!$B$4:$E$15,MATCH(YEAR(A224),Rates!$A$4:$A$15,0),ROUNDUP(MONTH(A224)/3,0))/100,0.03))</f>
        <v>0.07</v>
      </c>
      <c r="C224" s="25" t="n">
        <f aca="false">MAX(0,Penalty!$B$4-SUMIFS(Penalty!$C$10:$C$12,Penalty!$B$10:$B$12,"&lt;"&amp;A224))</f>
        <v>12000</v>
      </c>
      <c r="D224" s="25" t="n">
        <f aca="false">IF(A224&lt;=Penalty!$B$8,C224+F223+IF(A224&gt;Penalty!$B$19,Penalty!$I$5,0)+G223,0)</f>
        <v>0</v>
      </c>
      <c r="E224" s="26" t="n">
        <f aca="false">D224*B224/365</f>
        <v>0</v>
      </c>
      <c r="F224" s="25" t="n">
        <f aca="false">F223+E224*(1-IF(D224&gt;0,(IF(A224&gt;Penalty!$B$19,Penalty!$I$5,0)+G223)/D224,0))</f>
        <v>345.789278153858</v>
      </c>
      <c r="G224" s="25" t="n">
        <f aca="false">G223+E224*IF(D224&gt;0,(IF(A224&gt;Penalty!$B$19,Penalty!$I$5,0)+G223)/D224,0)</f>
        <v>46.6815525507708</v>
      </c>
    </row>
    <row r="225" customFormat="false" ht="15" hidden="false" customHeight="false" outlineLevel="0" collapsed="false">
      <c r="A225" s="23" t="n">
        <f aca="false">Penalty!$B$5+221</f>
        <v>46348</v>
      </c>
      <c r="B225" s="24" t="n">
        <f aca="false">IF(YEAR(A225)&gt;2026,Penalty!$B$16/100,IFERROR(INDEX(Rates!$B$4:$E$15,MATCH(YEAR(A225),Rates!$A$4:$A$15,0),ROUNDUP(MONTH(A225)/3,0))/100,0.03))</f>
        <v>0.07</v>
      </c>
      <c r="C225" s="25" t="n">
        <f aca="false">MAX(0,Penalty!$B$4-SUMIFS(Penalty!$C$10:$C$12,Penalty!$B$10:$B$12,"&lt;"&amp;A225))</f>
        <v>12000</v>
      </c>
      <c r="D225" s="25" t="n">
        <f aca="false">IF(A225&lt;=Penalty!$B$8,C225+F224+IF(A225&gt;Penalty!$B$19,Penalty!$I$5,0)+G224,0)</f>
        <v>0</v>
      </c>
      <c r="E225" s="26" t="n">
        <f aca="false">D225*B225/365</f>
        <v>0</v>
      </c>
      <c r="F225" s="25" t="n">
        <f aca="false">F224+E225*(1-IF(D225&gt;0,(IF(A225&gt;Penalty!$B$19,Penalty!$I$5,0)+G224)/D225,0))</f>
        <v>345.789278153858</v>
      </c>
      <c r="G225" s="25" t="n">
        <f aca="false">G224+E225*IF(D225&gt;0,(IF(A225&gt;Penalty!$B$19,Penalty!$I$5,0)+G224)/D225,0)</f>
        <v>46.6815525507708</v>
      </c>
    </row>
    <row r="226" customFormat="false" ht="15" hidden="false" customHeight="false" outlineLevel="0" collapsed="false">
      <c r="A226" s="23" t="n">
        <f aca="false">Penalty!$B$5+222</f>
        <v>46349</v>
      </c>
      <c r="B226" s="24" t="n">
        <f aca="false">IF(YEAR(A226)&gt;2026,Penalty!$B$16/100,IFERROR(INDEX(Rates!$B$4:$E$15,MATCH(YEAR(A226),Rates!$A$4:$A$15,0),ROUNDUP(MONTH(A226)/3,0))/100,0.03))</f>
        <v>0.07</v>
      </c>
      <c r="C226" s="25" t="n">
        <f aca="false">MAX(0,Penalty!$B$4-SUMIFS(Penalty!$C$10:$C$12,Penalty!$B$10:$B$12,"&lt;"&amp;A226))</f>
        <v>12000</v>
      </c>
      <c r="D226" s="25" t="n">
        <f aca="false">IF(A226&lt;=Penalty!$B$8,C226+F225+IF(A226&gt;Penalty!$B$19,Penalty!$I$5,0)+G225,0)</f>
        <v>0</v>
      </c>
      <c r="E226" s="26" t="n">
        <f aca="false">D226*B226/365</f>
        <v>0</v>
      </c>
      <c r="F226" s="25" t="n">
        <f aca="false">F225+E226*(1-IF(D226&gt;0,(IF(A226&gt;Penalty!$B$19,Penalty!$I$5,0)+G225)/D226,0))</f>
        <v>345.789278153858</v>
      </c>
      <c r="G226" s="25" t="n">
        <f aca="false">G225+E226*IF(D226&gt;0,(IF(A226&gt;Penalty!$B$19,Penalty!$I$5,0)+G225)/D226,0)</f>
        <v>46.6815525507708</v>
      </c>
    </row>
    <row r="227" customFormat="false" ht="15" hidden="false" customHeight="false" outlineLevel="0" collapsed="false">
      <c r="A227" s="23" t="n">
        <f aca="false">Penalty!$B$5+223</f>
        <v>46350</v>
      </c>
      <c r="B227" s="24" t="n">
        <f aca="false">IF(YEAR(A227)&gt;2026,Penalty!$B$16/100,IFERROR(INDEX(Rates!$B$4:$E$15,MATCH(YEAR(A227),Rates!$A$4:$A$15,0),ROUNDUP(MONTH(A227)/3,0))/100,0.03))</f>
        <v>0.07</v>
      </c>
      <c r="C227" s="25" t="n">
        <f aca="false">MAX(0,Penalty!$B$4-SUMIFS(Penalty!$C$10:$C$12,Penalty!$B$10:$B$12,"&lt;"&amp;A227))</f>
        <v>12000</v>
      </c>
      <c r="D227" s="25" t="n">
        <f aca="false">IF(A227&lt;=Penalty!$B$8,C227+F226+IF(A227&gt;Penalty!$B$19,Penalty!$I$5,0)+G226,0)</f>
        <v>0</v>
      </c>
      <c r="E227" s="26" t="n">
        <f aca="false">D227*B227/365</f>
        <v>0</v>
      </c>
      <c r="F227" s="25" t="n">
        <f aca="false">F226+E227*(1-IF(D227&gt;0,(IF(A227&gt;Penalty!$B$19,Penalty!$I$5,0)+G226)/D227,0))</f>
        <v>345.789278153858</v>
      </c>
      <c r="G227" s="25" t="n">
        <f aca="false">G226+E227*IF(D227&gt;0,(IF(A227&gt;Penalty!$B$19,Penalty!$I$5,0)+G226)/D227,0)</f>
        <v>46.6815525507708</v>
      </c>
    </row>
    <row r="228" customFormat="false" ht="15" hidden="false" customHeight="false" outlineLevel="0" collapsed="false">
      <c r="A228" s="23" t="n">
        <f aca="false">Penalty!$B$5+224</f>
        <v>46351</v>
      </c>
      <c r="B228" s="24" t="n">
        <f aca="false">IF(YEAR(A228)&gt;2026,Penalty!$B$16/100,IFERROR(INDEX(Rates!$B$4:$E$15,MATCH(YEAR(A228),Rates!$A$4:$A$15,0),ROUNDUP(MONTH(A228)/3,0))/100,0.03))</f>
        <v>0.07</v>
      </c>
      <c r="C228" s="25" t="n">
        <f aca="false">MAX(0,Penalty!$B$4-SUMIFS(Penalty!$C$10:$C$12,Penalty!$B$10:$B$12,"&lt;"&amp;A228))</f>
        <v>12000</v>
      </c>
      <c r="D228" s="25" t="n">
        <f aca="false">IF(A228&lt;=Penalty!$B$8,C228+F227+IF(A228&gt;Penalty!$B$19,Penalty!$I$5,0)+G227,0)</f>
        <v>0</v>
      </c>
      <c r="E228" s="26" t="n">
        <f aca="false">D228*B228/365</f>
        <v>0</v>
      </c>
      <c r="F228" s="25" t="n">
        <f aca="false">F227+E228*(1-IF(D228&gt;0,(IF(A228&gt;Penalty!$B$19,Penalty!$I$5,0)+G227)/D228,0))</f>
        <v>345.789278153858</v>
      </c>
      <c r="G228" s="25" t="n">
        <f aca="false">G227+E228*IF(D228&gt;0,(IF(A228&gt;Penalty!$B$19,Penalty!$I$5,0)+G227)/D228,0)</f>
        <v>46.6815525507708</v>
      </c>
    </row>
    <row r="229" customFormat="false" ht="15" hidden="false" customHeight="false" outlineLevel="0" collapsed="false">
      <c r="A229" s="23" t="n">
        <f aca="false">Penalty!$B$5+225</f>
        <v>46352</v>
      </c>
      <c r="B229" s="24" t="n">
        <f aca="false">IF(YEAR(A229)&gt;2026,Penalty!$B$16/100,IFERROR(INDEX(Rates!$B$4:$E$15,MATCH(YEAR(A229),Rates!$A$4:$A$15,0),ROUNDUP(MONTH(A229)/3,0))/100,0.03))</f>
        <v>0.07</v>
      </c>
      <c r="C229" s="25" t="n">
        <f aca="false">MAX(0,Penalty!$B$4-SUMIFS(Penalty!$C$10:$C$12,Penalty!$B$10:$B$12,"&lt;"&amp;A229))</f>
        <v>12000</v>
      </c>
      <c r="D229" s="25" t="n">
        <f aca="false">IF(A229&lt;=Penalty!$B$8,C229+F228+IF(A229&gt;Penalty!$B$19,Penalty!$I$5,0)+G228,0)</f>
        <v>0</v>
      </c>
      <c r="E229" s="26" t="n">
        <f aca="false">D229*B229/365</f>
        <v>0</v>
      </c>
      <c r="F229" s="25" t="n">
        <f aca="false">F228+E229*(1-IF(D229&gt;0,(IF(A229&gt;Penalty!$B$19,Penalty!$I$5,0)+G228)/D229,0))</f>
        <v>345.789278153858</v>
      </c>
      <c r="G229" s="25" t="n">
        <f aca="false">G228+E229*IF(D229&gt;0,(IF(A229&gt;Penalty!$B$19,Penalty!$I$5,0)+G228)/D229,0)</f>
        <v>46.6815525507708</v>
      </c>
    </row>
    <row r="230" customFormat="false" ht="15" hidden="false" customHeight="false" outlineLevel="0" collapsed="false">
      <c r="A230" s="23" t="n">
        <f aca="false">Penalty!$B$5+226</f>
        <v>46353</v>
      </c>
      <c r="B230" s="24" t="n">
        <f aca="false">IF(YEAR(A230)&gt;2026,Penalty!$B$16/100,IFERROR(INDEX(Rates!$B$4:$E$15,MATCH(YEAR(A230),Rates!$A$4:$A$15,0),ROUNDUP(MONTH(A230)/3,0))/100,0.03))</f>
        <v>0.07</v>
      </c>
      <c r="C230" s="25" t="n">
        <f aca="false">MAX(0,Penalty!$B$4-SUMIFS(Penalty!$C$10:$C$12,Penalty!$B$10:$B$12,"&lt;"&amp;A230))</f>
        <v>12000</v>
      </c>
      <c r="D230" s="25" t="n">
        <f aca="false">IF(A230&lt;=Penalty!$B$8,C230+F229+IF(A230&gt;Penalty!$B$19,Penalty!$I$5,0)+G229,0)</f>
        <v>0</v>
      </c>
      <c r="E230" s="26" t="n">
        <f aca="false">D230*B230/365</f>
        <v>0</v>
      </c>
      <c r="F230" s="25" t="n">
        <f aca="false">F229+E230*(1-IF(D230&gt;0,(IF(A230&gt;Penalty!$B$19,Penalty!$I$5,0)+G229)/D230,0))</f>
        <v>345.789278153858</v>
      </c>
      <c r="G230" s="25" t="n">
        <f aca="false">G229+E230*IF(D230&gt;0,(IF(A230&gt;Penalty!$B$19,Penalty!$I$5,0)+G229)/D230,0)</f>
        <v>46.6815525507708</v>
      </c>
    </row>
    <row r="231" customFormat="false" ht="15" hidden="false" customHeight="false" outlineLevel="0" collapsed="false">
      <c r="A231" s="23" t="n">
        <f aca="false">Penalty!$B$5+227</f>
        <v>46354</v>
      </c>
      <c r="B231" s="24" t="n">
        <f aca="false">IF(YEAR(A231)&gt;2026,Penalty!$B$16/100,IFERROR(INDEX(Rates!$B$4:$E$15,MATCH(YEAR(A231),Rates!$A$4:$A$15,0),ROUNDUP(MONTH(A231)/3,0))/100,0.03))</f>
        <v>0.07</v>
      </c>
      <c r="C231" s="25" t="n">
        <f aca="false">MAX(0,Penalty!$B$4-SUMIFS(Penalty!$C$10:$C$12,Penalty!$B$10:$B$12,"&lt;"&amp;A231))</f>
        <v>12000</v>
      </c>
      <c r="D231" s="25" t="n">
        <f aca="false">IF(A231&lt;=Penalty!$B$8,C231+F230+IF(A231&gt;Penalty!$B$19,Penalty!$I$5,0)+G230,0)</f>
        <v>0</v>
      </c>
      <c r="E231" s="26" t="n">
        <f aca="false">D231*B231/365</f>
        <v>0</v>
      </c>
      <c r="F231" s="25" t="n">
        <f aca="false">F230+E231*(1-IF(D231&gt;0,(IF(A231&gt;Penalty!$B$19,Penalty!$I$5,0)+G230)/D231,0))</f>
        <v>345.789278153858</v>
      </c>
      <c r="G231" s="25" t="n">
        <f aca="false">G230+E231*IF(D231&gt;0,(IF(A231&gt;Penalty!$B$19,Penalty!$I$5,0)+G230)/D231,0)</f>
        <v>46.6815525507708</v>
      </c>
    </row>
    <row r="232" customFormat="false" ht="15" hidden="false" customHeight="false" outlineLevel="0" collapsed="false">
      <c r="A232" s="23" t="n">
        <f aca="false">Penalty!$B$5+228</f>
        <v>46355</v>
      </c>
      <c r="B232" s="24" t="n">
        <f aca="false">IF(YEAR(A232)&gt;2026,Penalty!$B$16/100,IFERROR(INDEX(Rates!$B$4:$E$15,MATCH(YEAR(A232),Rates!$A$4:$A$15,0),ROUNDUP(MONTH(A232)/3,0))/100,0.03))</f>
        <v>0.07</v>
      </c>
      <c r="C232" s="25" t="n">
        <f aca="false">MAX(0,Penalty!$B$4-SUMIFS(Penalty!$C$10:$C$12,Penalty!$B$10:$B$12,"&lt;"&amp;A232))</f>
        <v>12000</v>
      </c>
      <c r="D232" s="25" t="n">
        <f aca="false">IF(A232&lt;=Penalty!$B$8,C232+F231+IF(A232&gt;Penalty!$B$19,Penalty!$I$5,0)+G231,0)</f>
        <v>0</v>
      </c>
      <c r="E232" s="26" t="n">
        <f aca="false">D232*B232/365</f>
        <v>0</v>
      </c>
      <c r="F232" s="25" t="n">
        <f aca="false">F231+E232*(1-IF(D232&gt;0,(IF(A232&gt;Penalty!$B$19,Penalty!$I$5,0)+G231)/D232,0))</f>
        <v>345.789278153858</v>
      </c>
      <c r="G232" s="25" t="n">
        <f aca="false">G231+E232*IF(D232&gt;0,(IF(A232&gt;Penalty!$B$19,Penalty!$I$5,0)+G231)/D232,0)</f>
        <v>46.6815525507708</v>
      </c>
    </row>
    <row r="233" customFormat="false" ht="15" hidden="false" customHeight="false" outlineLevel="0" collapsed="false">
      <c r="A233" s="23" t="n">
        <f aca="false">Penalty!$B$5+229</f>
        <v>46356</v>
      </c>
      <c r="B233" s="24" t="n">
        <f aca="false">IF(YEAR(A233)&gt;2026,Penalty!$B$16/100,IFERROR(INDEX(Rates!$B$4:$E$15,MATCH(YEAR(A233),Rates!$A$4:$A$15,0),ROUNDUP(MONTH(A233)/3,0))/100,0.03))</f>
        <v>0.07</v>
      </c>
      <c r="C233" s="25" t="n">
        <f aca="false">MAX(0,Penalty!$B$4-SUMIFS(Penalty!$C$10:$C$12,Penalty!$B$10:$B$12,"&lt;"&amp;A233))</f>
        <v>12000</v>
      </c>
      <c r="D233" s="25" t="n">
        <f aca="false">IF(A233&lt;=Penalty!$B$8,C233+F232+IF(A233&gt;Penalty!$B$19,Penalty!$I$5,0)+G232,0)</f>
        <v>0</v>
      </c>
      <c r="E233" s="26" t="n">
        <f aca="false">D233*B233/365</f>
        <v>0</v>
      </c>
      <c r="F233" s="25" t="n">
        <f aca="false">F232+E233*(1-IF(D233&gt;0,(IF(A233&gt;Penalty!$B$19,Penalty!$I$5,0)+G232)/D233,0))</f>
        <v>345.789278153858</v>
      </c>
      <c r="G233" s="25" t="n">
        <f aca="false">G232+E233*IF(D233&gt;0,(IF(A233&gt;Penalty!$B$19,Penalty!$I$5,0)+G232)/D233,0)</f>
        <v>46.6815525507708</v>
      </c>
    </row>
    <row r="234" customFormat="false" ht="15" hidden="false" customHeight="false" outlineLevel="0" collapsed="false">
      <c r="A234" s="23" t="n">
        <f aca="false">Penalty!$B$5+230</f>
        <v>46357</v>
      </c>
      <c r="B234" s="24" t="n">
        <f aca="false">IF(YEAR(A234)&gt;2026,Penalty!$B$16/100,IFERROR(INDEX(Rates!$B$4:$E$15,MATCH(YEAR(A234),Rates!$A$4:$A$15,0),ROUNDUP(MONTH(A234)/3,0))/100,0.03))</f>
        <v>0.07</v>
      </c>
      <c r="C234" s="25" t="n">
        <f aca="false">MAX(0,Penalty!$B$4-SUMIFS(Penalty!$C$10:$C$12,Penalty!$B$10:$B$12,"&lt;"&amp;A234))</f>
        <v>12000</v>
      </c>
      <c r="D234" s="25" t="n">
        <f aca="false">IF(A234&lt;=Penalty!$B$8,C234+F233+IF(A234&gt;Penalty!$B$19,Penalty!$I$5,0)+G233,0)</f>
        <v>0</v>
      </c>
      <c r="E234" s="26" t="n">
        <f aca="false">D234*B234/365</f>
        <v>0</v>
      </c>
      <c r="F234" s="25" t="n">
        <f aca="false">F233+E234*(1-IF(D234&gt;0,(IF(A234&gt;Penalty!$B$19,Penalty!$I$5,0)+G233)/D234,0))</f>
        <v>345.789278153858</v>
      </c>
      <c r="G234" s="25" t="n">
        <f aca="false">G233+E234*IF(D234&gt;0,(IF(A234&gt;Penalty!$B$19,Penalty!$I$5,0)+G233)/D234,0)</f>
        <v>46.6815525507708</v>
      </c>
    </row>
    <row r="235" customFormat="false" ht="15" hidden="false" customHeight="false" outlineLevel="0" collapsed="false">
      <c r="A235" s="23" t="n">
        <f aca="false">Penalty!$B$5+231</f>
        <v>46358</v>
      </c>
      <c r="B235" s="24" t="n">
        <f aca="false">IF(YEAR(A235)&gt;2026,Penalty!$B$16/100,IFERROR(INDEX(Rates!$B$4:$E$15,MATCH(YEAR(A235),Rates!$A$4:$A$15,0),ROUNDUP(MONTH(A235)/3,0))/100,0.03))</f>
        <v>0.07</v>
      </c>
      <c r="C235" s="25" t="n">
        <f aca="false">MAX(0,Penalty!$B$4-SUMIFS(Penalty!$C$10:$C$12,Penalty!$B$10:$B$12,"&lt;"&amp;A235))</f>
        <v>12000</v>
      </c>
      <c r="D235" s="25" t="n">
        <f aca="false">IF(A235&lt;=Penalty!$B$8,C235+F234+IF(A235&gt;Penalty!$B$19,Penalty!$I$5,0)+G234,0)</f>
        <v>0</v>
      </c>
      <c r="E235" s="26" t="n">
        <f aca="false">D235*B235/365</f>
        <v>0</v>
      </c>
      <c r="F235" s="25" t="n">
        <f aca="false">F234+E235*(1-IF(D235&gt;0,(IF(A235&gt;Penalty!$B$19,Penalty!$I$5,0)+G234)/D235,0))</f>
        <v>345.789278153858</v>
      </c>
      <c r="G235" s="25" t="n">
        <f aca="false">G234+E235*IF(D235&gt;0,(IF(A235&gt;Penalty!$B$19,Penalty!$I$5,0)+G234)/D235,0)</f>
        <v>46.6815525507708</v>
      </c>
    </row>
    <row r="236" customFormat="false" ht="15" hidden="false" customHeight="false" outlineLevel="0" collapsed="false">
      <c r="A236" s="23" t="n">
        <f aca="false">Penalty!$B$5+232</f>
        <v>46359</v>
      </c>
      <c r="B236" s="24" t="n">
        <f aca="false">IF(YEAR(A236)&gt;2026,Penalty!$B$16/100,IFERROR(INDEX(Rates!$B$4:$E$15,MATCH(YEAR(A236),Rates!$A$4:$A$15,0),ROUNDUP(MONTH(A236)/3,0))/100,0.03))</f>
        <v>0.07</v>
      </c>
      <c r="C236" s="25" t="n">
        <f aca="false">MAX(0,Penalty!$B$4-SUMIFS(Penalty!$C$10:$C$12,Penalty!$B$10:$B$12,"&lt;"&amp;A236))</f>
        <v>12000</v>
      </c>
      <c r="D236" s="25" t="n">
        <f aca="false">IF(A236&lt;=Penalty!$B$8,C236+F235+IF(A236&gt;Penalty!$B$19,Penalty!$I$5,0)+G235,0)</f>
        <v>0</v>
      </c>
      <c r="E236" s="26" t="n">
        <f aca="false">D236*B236/365</f>
        <v>0</v>
      </c>
      <c r="F236" s="25" t="n">
        <f aca="false">F235+E236*(1-IF(D236&gt;0,(IF(A236&gt;Penalty!$B$19,Penalty!$I$5,0)+G235)/D236,0))</f>
        <v>345.789278153858</v>
      </c>
      <c r="G236" s="25" t="n">
        <f aca="false">G235+E236*IF(D236&gt;0,(IF(A236&gt;Penalty!$B$19,Penalty!$I$5,0)+G235)/D236,0)</f>
        <v>46.6815525507708</v>
      </c>
    </row>
    <row r="237" customFormat="false" ht="15" hidden="false" customHeight="false" outlineLevel="0" collapsed="false">
      <c r="A237" s="23" t="n">
        <f aca="false">Penalty!$B$5+233</f>
        <v>46360</v>
      </c>
      <c r="B237" s="24" t="n">
        <f aca="false">IF(YEAR(A237)&gt;2026,Penalty!$B$16/100,IFERROR(INDEX(Rates!$B$4:$E$15,MATCH(YEAR(A237),Rates!$A$4:$A$15,0),ROUNDUP(MONTH(A237)/3,0))/100,0.03))</f>
        <v>0.07</v>
      </c>
      <c r="C237" s="25" t="n">
        <f aca="false">MAX(0,Penalty!$B$4-SUMIFS(Penalty!$C$10:$C$12,Penalty!$B$10:$B$12,"&lt;"&amp;A237))</f>
        <v>12000</v>
      </c>
      <c r="D237" s="25" t="n">
        <f aca="false">IF(A237&lt;=Penalty!$B$8,C237+F236+IF(A237&gt;Penalty!$B$19,Penalty!$I$5,0)+G236,0)</f>
        <v>0</v>
      </c>
      <c r="E237" s="26" t="n">
        <f aca="false">D237*B237/365</f>
        <v>0</v>
      </c>
      <c r="F237" s="25" t="n">
        <f aca="false">F236+E237*(1-IF(D237&gt;0,(IF(A237&gt;Penalty!$B$19,Penalty!$I$5,0)+G236)/D237,0))</f>
        <v>345.789278153858</v>
      </c>
      <c r="G237" s="25" t="n">
        <f aca="false">G236+E237*IF(D237&gt;0,(IF(A237&gt;Penalty!$B$19,Penalty!$I$5,0)+G236)/D237,0)</f>
        <v>46.6815525507708</v>
      </c>
    </row>
    <row r="238" customFormat="false" ht="15" hidden="false" customHeight="false" outlineLevel="0" collapsed="false">
      <c r="A238" s="23" t="n">
        <f aca="false">Penalty!$B$5+234</f>
        <v>46361</v>
      </c>
      <c r="B238" s="24" t="n">
        <f aca="false">IF(YEAR(A238)&gt;2026,Penalty!$B$16/100,IFERROR(INDEX(Rates!$B$4:$E$15,MATCH(YEAR(A238),Rates!$A$4:$A$15,0),ROUNDUP(MONTH(A238)/3,0))/100,0.03))</f>
        <v>0.07</v>
      </c>
      <c r="C238" s="25" t="n">
        <f aca="false">MAX(0,Penalty!$B$4-SUMIFS(Penalty!$C$10:$C$12,Penalty!$B$10:$B$12,"&lt;"&amp;A238))</f>
        <v>12000</v>
      </c>
      <c r="D238" s="25" t="n">
        <f aca="false">IF(A238&lt;=Penalty!$B$8,C238+F237+IF(A238&gt;Penalty!$B$19,Penalty!$I$5,0)+G237,0)</f>
        <v>0</v>
      </c>
      <c r="E238" s="26" t="n">
        <f aca="false">D238*B238/365</f>
        <v>0</v>
      </c>
      <c r="F238" s="25" t="n">
        <f aca="false">F237+E238*(1-IF(D238&gt;0,(IF(A238&gt;Penalty!$B$19,Penalty!$I$5,0)+G237)/D238,0))</f>
        <v>345.789278153858</v>
      </c>
      <c r="G238" s="25" t="n">
        <f aca="false">G237+E238*IF(D238&gt;0,(IF(A238&gt;Penalty!$B$19,Penalty!$I$5,0)+G237)/D238,0)</f>
        <v>46.6815525507708</v>
      </c>
    </row>
    <row r="239" customFormat="false" ht="15" hidden="false" customHeight="false" outlineLevel="0" collapsed="false">
      <c r="A239" s="23" t="n">
        <f aca="false">Penalty!$B$5+235</f>
        <v>46362</v>
      </c>
      <c r="B239" s="24" t="n">
        <f aca="false">IF(YEAR(A239)&gt;2026,Penalty!$B$16/100,IFERROR(INDEX(Rates!$B$4:$E$15,MATCH(YEAR(A239),Rates!$A$4:$A$15,0),ROUNDUP(MONTH(A239)/3,0))/100,0.03))</f>
        <v>0.07</v>
      </c>
      <c r="C239" s="25" t="n">
        <f aca="false">MAX(0,Penalty!$B$4-SUMIFS(Penalty!$C$10:$C$12,Penalty!$B$10:$B$12,"&lt;"&amp;A239))</f>
        <v>12000</v>
      </c>
      <c r="D239" s="25" t="n">
        <f aca="false">IF(A239&lt;=Penalty!$B$8,C239+F238+IF(A239&gt;Penalty!$B$19,Penalty!$I$5,0)+G238,0)</f>
        <v>0</v>
      </c>
      <c r="E239" s="26" t="n">
        <f aca="false">D239*B239/365</f>
        <v>0</v>
      </c>
      <c r="F239" s="25" t="n">
        <f aca="false">F238+E239*(1-IF(D239&gt;0,(IF(A239&gt;Penalty!$B$19,Penalty!$I$5,0)+G238)/D239,0))</f>
        <v>345.789278153858</v>
      </c>
      <c r="G239" s="25" t="n">
        <f aca="false">G238+E239*IF(D239&gt;0,(IF(A239&gt;Penalty!$B$19,Penalty!$I$5,0)+G238)/D239,0)</f>
        <v>46.6815525507708</v>
      </c>
    </row>
    <row r="240" customFormat="false" ht="15" hidden="false" customHeight="false" outlineLevel="0" collapsed="false">
      <c r="A240" s="23" t="n">
        <f aca="false">Penalty!$B$5+236</f>
        <v>46363</v>
      </c>
      <c r="B240" s="24" t="n">
        <f aca="false">IF(YEAR(A240)&gt;2026,Penalty!$B$16/100,IFERROR(INDEX(Rates!$B$4:$E$15,MATCH(YEAR(A240),Rates!$A$4:$A$15,0),ROUNDUP(MONTH(A240)/3,0))/100,0.03))</f>
        <v>0.07</v>
      </c>
      <c r="C240" s="25" t="n">
        <f aca="false">MAX(0,Penalty!$B$4-SUMIFS(Penalty!$C$10:$C$12,Penalty!$B$10:$B$12,"&lt;"&amp;A240))</f>
        <v>12000</v>
      </c>
      <c r="D240" s="25" t="n">
        <f aca="false">IF(A240&lt;=Penalty!$B$8,C240+F239+IF(A240&gt;Penalty!$B$19,Penalty!$I$5,0)+G239,0)</f>
        <v>0</v>
      </c>
      <c r="E240" s="26" t="n">
        <f aca="false">D240*B240/365</f>
        <v>0</v>
      </c>
      <c r="F240" s="25" t="n">
        <f aca="false">F239+E240*(1-IF(D240&gt;0,(IF(A240&gt;Penalty!$B$19,Penalty!$I$5,0)+G239)/D240,0))</f>
        <v>345.789278153858</v>
      </c>
      <c r="G240" s="25" t="n">
        <f aca="false">G239+E240*IF(D240&gt;0,(IF(A240&gt;Penalty!$B$19,Penalty!$I$5,0)+G239)/D240,0)</f>
        <v>46.6815525507708</v>
      </c>
    </row>
    <row r="241" customFormat="false" ht="15" hidden="false" customHeight="false" outlineLevel="0" collapsed="false">
      <c r="A241" s="23" t="n">
        <f aca="false">Penalty!$B$5+237</f>
        <v>46364</v>
      </c>
      <c r="B241" s="24" t="n">
        <f aca="false">IF(YEAR(A241)&gt;2026,Penalty!$B$16/100,IFERROR(INDEX(Rates!$B$4:$E$15,MATCH(YEAR(A241),Rates!$A$4:$A$15,0),ROUNDUP(MONTH(A241)/3,0))/100,0.03))</f>
        <v>0.07</v>
      </c>
      <c r="C241" s="25" t="n">
        <f aca="false">MAX(0,Penalty!$B$4-SUMIFS(Penalty!$C$10:$C$12,Penalty!$B$10:$B$12,"&lt;"&amp;A241))</f>
        <v>12000</v>
      </c>
      <c r="D241" s="25" t="n">
        <f aca="false">IF(A241&lt;=Penalty!$B$8,C241+F240+IF(A241&gt;Penalty!$B$19,Penalty!$I$5,0)+G240,0)</f>
        <v>0</v>
      </c>
      <c r="E241" s="26" t="n">
        <f aca="false">D241*B241/365</f>
        <v>0</v>
      </c>
      <c r="F241" s="25" t="n">
        <f aca="false">F240+E241*(1-IF(D241&gt;0,(IF(A241&gt;Penalty!$B$19,Penalty!$I$5,0)+G240)/D241,0))</f>
        <v>345.789278153858</v>
      </c>
      <c r="G241" s="25" t="n">
        <f aca="false">G240+E241*IF(D241&gt;0,(IF(A241&gt;Penalty!$B$19,Penalty!$I$5,0)+G240)/D241,0)</f>
        <v>46.6815525507708</v>
      </c>
    </row>
    <row r="242" customFormat="false" ht="15" hidden="false" customHeight="false" outlineLevel="0" collapsed="false">
      <c r="A242" s="23" t="n">
        <f aca="false">Penalty!$B$5+238</f>
        <v>46365</v>
      </c>
      <c r="B242" s="24" t="n">
        <f aca="false">IF(YEAR(A242)&gt;2026,Penalty!$B$16/100,IFERROR(INDEX(Rates!$B$4:$E$15,MATCH(YEAR(A242),Rates!$A$4:$A$15,0),ROUNDUP(MONTH(A242)/3,0))/100,0.03))</f>
        <v>0.07</v>
      </c>
      <c r="C242" s="25" t="n">
        <f aca="false">MAX(0,Penalty!$B$4-SUMIFS(Penalty!$C$10:$C$12,Penalty!$B$10:$B$12,"&lt;"&amp;A242))</f>
        <v>12000</v>
      </c>
      <c r="D242" s="25" t="n">
        <f aca="false">IF(A242&lt;=Penalty!$B$8,C242+F241+IF(A242&gt;Penalty!$B$19,Penalty!$I$5,0)+G241,0)</f>
        <v>0</v>
      </c>
      <c r="E242" s="26" t="n">
        <f aca="false">D242*B242/365</f>
        <v>0</v>
      </c>
      <c r="F242" s="25" t="n">
        <f aca="false">F241+E242*(1-IF(D242&gt;0,(IF(A242&gt;Penalty!$B$19,Penalty!$I$5,0)+G241)/D242,0))</f>
        <v>345.789278153858</v>
      </c>
      <c r="G242" s="25" t="n">
        <f aca="false">G241+E242*IF(D242&gt;0,(IF(A242&gt;Penalty!$B$19,Penalty!$I$5,0)+G241)/D242,0)</f>
        <v>46.6815525507708</v>
      </c>
    </row>
    <row r="243" customFormat="false" ht="15" hidden="false" customHeight="false" outlineLevel="0" collapsed="false">
      <c r="A243" s="23" t="n">
        <f aca="false">Penalty!$B$5+239</f>
        <v>46366</v>
      </c>
      <c r="B243" s="24" t="n">
        <f aca="false">IF(YEAR(A243)&gt;2026,Penalty!$B$16/100,IFERROR(INDEX(Rates!$B$4:$E$15,MATCH(YEAR(A243),Rates!$A$4:$A$15,0),ROUNDUP(MONTH(A243)/3,0))/100,0.03))</f>
        <v>0.07</v>
      </c>
      <c r="C243" s="25" t="n">
        <f aca="false">MAX(0,Penalty!$B$4-SUMIFS(Penalty!$C$10:$C$12,Penalty!$B$10:$B$12,"&lt;"&amp;A243))</f>
        <v>12000</v>
      </c>
      <c r="D243" s="25" t="n">
        <f aca="false">IF(A243&lt;=Penalty!$B$8,C243+F242+IF(A243&gt;Penalty!$B$19,Penalty!$I$5,0)+G242,0)</f>
        <v>0</v>
      </c>
      <c r="E243" s="26" t="n">
        <f aca="false">D243*B243/365</f>
        <v>0</v>
      </c>
      <c r="F243" s="25" t="n">
        <f aca="false">F242+E243*(1-IF(D243&gt;0,(IF(A243&gt;Penalty!$B$19,Penalty!$I$5,0)+G242)/D243,0))</f>
        <v>345.789278153858</v>
      </c>
      <c r="G243" s="25" t="n">
        <f aca="false">G242+E243*IF(D243&gt;0,(IF(A243&gt;Penalty!$B$19,Penalty!$I$5,0)+G242)/D243,0)</f>
        <v>46.6815525507708</v>
      </c>
    </row>
    <row r="244" customFormat="false" ht="15" hidden="false" customHeight="false" outlineLevel="0" collapsed="false">
      <c r="A244" s="23" t="n">
        <f aca="false">Penalty!$B$5+240</f>
        <v>46367</v>
      </c>
      <c r="B244" s="24" t="n">
        <f aca="false">IF(YEAR(A244)&gt;2026,Penalty!$B$16/100,IFERROR(INDEX(Rates!$B$4:$E$15,MATCH(YEAR(A244),Rates!$A$4:$A$15,0),ROUNDUP(MONTH(A244)/3,0))/100,0.03))</f>
        <v>0.07</v>
      </c>
      <c r="C244" s="25" t="n">
        <f aca="false">MAX(0,Penalty!$B$4-SUMIFS(Penalty!$C$10:$C$12,Penalty!$B$10:$B$12,"&lt;"&amp;A244))</f>
        <v>12000</v>
      </c>
      <c r="D244" s="25" t="n">
        <f aca="false">IF(A244&lt;=Penalty!$B$8,C244+F243+IF(A244&gt;Penalty!$B$19,Penalty!$I$5,0)+G243,0)</f>
        <v>0</v>
      </c>
      <c r="E244" s="26" t="n">
        <f aca="false">D244*B244/365</f>
        <v>0</v>
      </c>
      <c r="F244" s="25" t="n">
        <f aca="false">F243+E244*(1-IF(D244&gt;0,(IF(A244&gt;Penalty!$B$19,Penalty!$I$5,0)+G243)/D244,0))</f>
        <v>345.789278153858</v>
      </c>
      <c r="G244" s="25" t="n">
        <f aca="false">G243+E244*IF(D244&gt;0,(IF(A244&gt;Penalty!$B$19,Penalty!$I$5,0)+G243)/D244,0)</f>
        <v>46.6815525507708</v>
      </c>
    </row>
    <row r="245" customFormat="false" ht="15" hidden="false" customHeight="false" outlineLevel="0" collapsed="false">
      <c r="A245" s="23" t="n">
        <f aca="false">Penalty!$B$5+241</f>
        <v>46368</v>
      </c>
      <c r="B245" s="24" t="n">
        <f aca="false">IF(YEAR(A245)&gt;2026,Penalty!$B$16/100,IFERROR(INDEX(Rates!$B$4:$E$15,MATCH(YEAR(A245),Rates!$A$4:$A$15,0),ROUNDUP(MONTH(A245)/3,0))/100,0.03))</f>
        <v>0.07</v>
      </c>
      <c r="C245" s="25" t="n">
        <f aca="false">MAX(0,Penalty!$B$4-SUMIFS(Penalty!$C$10:$C$12,Penalty!$B$10:$B$12,"&lt;"&amp;A245))</f>
        <v>12000</v>
      </c>
      <c r="D245" s="25" t="n">
        <f aca="false">IF(A245&lt;=Penalty!$B$8,C245+F244+IF(A245&gt;Penalty!$B$19,Penalty!$I$5,0)+G244,0)</f>
        <v>0</v>
      </c>
      <c r="E245" s="26" t="n">
        <f aca="false">D245*B245/365</f>
        <v>0</v>
      </c>
      <c r="F245" s="25" t="n">
        <f aca="false">F244+E245*(1-IF(D245&gt;0,(IF(A245&gt;Penalty!$B$19,Penalty!$I$5,0)+G244)/D245,0))</f>
        <v>345.789278153858</v>
      </c>
      <c r="G245" s="25" t="n">
        <f aca="false">G244+E245*IF(D245&gt;0,(IF(A245&gt;Penalty!$B$19,Penalty!$I$5,0)+G244)/D245,0)</f>
        <v>46.6815525507708</v>
      </c>
    </row>
    <row r="246" customFormat="false" ht="15" hidden="false" customHeight="false" outlineLevel="0" collapsed="false">
      <c r="A246" s="23" t="n">
        <f aca="false">Penalty!$B$5+242</f>
        <v>46369</v>
      </c>
      <c r="B246" s="24" t="n">
        <f aca="false">IF(YEAR(A246)&gt;2026,Penalty!$B$16/100,IFERROR(INDEX(Rates!$B$4:$E$15,MATCH(YEAR(A246),Rates!$A$4:$A$15,0),ROUNDUP(MONTH(A246)/3,0))/100,0.03))</f>
        <v>0.07</v>
      </c>
      <c r="C246" s="25" t="n">
        <f aca="false">MAX(0,Penalty!$B$4-SUMIFS(Penalty!$C$10:$C$12,Penalty!$B$10:$B$12,"&lt;"&amp;A246))</f>
        <v>12000</v>
      </c>
      <c r="D246" s="25" t="n">
        <f aca="false">IF(A246&lt;=Penalty!$B$8,C246+F245+IF(A246&gt;Penalty!$B$19,Penalty!$I$5,0)+G245,0)</f>
        <v>0</v>
      </c>
      <c r="E246" s="26" t="n">
        <f aca="false">D246*B246/365</f>
        <v>0</v>
      </c>
      <c r="F246" s="25" t="n">
        <f aca="false">F245+E246*(1-IF(D246&gt;0,(IF(A246&gt;Penalty!$B$19,Penalty!$I$5,0)+G245)/D246,0))</f>
        <v>345.789278153858</v>
      </c>
      <c r="G246" s="25" t="n">
        <f aca="false">G245+E246*IF(D246&gt;0,(IF(A246&gt;Penalty!$B$19,Penalty!$I$5,0)+G245)/D246,0)</f>
        <v>46.6815525507708</v>
      </c>
    </row>
    <row r="247" customFormat="false" ht="15" hidden="false" customHeight="false" outlineLevel="0" collapsed="false">
      <c r="A247" s="23" t="n">
        <f aca="false">Penalty!$B$5+243</f>
        <v>46370</v>
      </c>
      <c r="B247" s="24" t="n">
        <f aca="false">IF(YEAR(A247)&gt;2026,Penalty!$B$16/100,IFERROR(INDEX(Rates!$B$4:$E$15,MATCH(YEAR(A247),Rates!$A$4:$A$15,0),ROUNDUP(MONTH(A247)/3,0))/100,0.03))</f>
        <v>0.07</v>
      </c>
      <c r="C247" s="25" t="n">
        <f aca="false">MAX(0,Penalty!$B$4-SUMIFS(Penalty!$C$10:$C$12,Penalty!$B$10:$B$12,"&lt;"&amp;A247))</f>
        <v>12000</v>
      </c>
      <c r="D247" s="25" t="n">
        <f aca="false">IF(A247&lt;=Penalty!$B$8,C247+F246+IF(A247&gt;Penalty!$B$19,Penalty!$I$5,0)+G246,0)</f>
        <v>0</v>
      </c>
      <c r="E247" s="26" t="n">
        <f aca="false">D247*B247/365</f>
        <v>0</v>
      </c>
      <c r="F247" s="25" t="n">
        <f aca="false">F246+E247*(1-IF(D247&gt;0,(IF(A247&gt;Penalty!$B$19,Penalty!$I$5,0)+G246)/D247,0))</f>
        <v>345.789278153858</v>
      </c>
      <c r="G247" s="25" t="n">
        <f aca="false">G246+E247*IF(D247&gt;0,(IF(A247&gt;Penalty!$B$19,Penalty!$I$5,0)+G246)/D247,0)</f>
        <v>46.6815525507708</v>
      </c>
    </row>
    <row r="248" customFormat="false" ht="15" hidden="false" customHeight="false" outlineLevel="0" collapsed="false">
      <c r="A248" s="23" t="n">
        <f aca="false">Penalty!$B$5+244</f>
        <v>46371</v>
      </c>
      <c r="B248" s="24" t="n">
        <f aca="false">IF(YEAR(A248)&gt;2026,Penalty!$B$16/100,IFERROR(INDEX(Rates!$B$4:$E$15,MATCH(YEAR(A248),Rates!$A$4:$A$15,0),ROUNDUP(MONTH(A248)/3,0))/100,0.03))</f>
        <v>0.07</v>
      </c>
      <c r="C248" s="25" t="n">
        <f aca="false">MAX(0,Penalty!$B$4-SUMIFS(Penalty!$C$10:$C$12,Penalty!$B$10:$B$12,"&lt;"&amp;A248))</f>
        <v>12000</v>
      </c>
      <c r="D248" s="25" t="n">
        <f aca="false">IF(A248&lt;=Penalty!$B$8,C248+F247+IF(A248&gt;Penalty!$B$19,Penalty!$I$5,0)+G247,0)</f>
        <v>0</v>
      </c>
      <c r="E248" s="26" t="n">
        <f aca="false">D248*B248/365</f>
        <v>0</v>
      </c>
      <c r="F248" s="25" t="n">
        <f aca="false">F247+E248*(1-IF(D248&gt;0,(IF(A248&gt;Penalty!$B$19,Penalty!$I$5,0)+G247)/D248,0))</f>
        <v>345.789278153858</v>
      </c>
      <c r="G248" s="25" t="n">
        <f aca="false">G247+E248*IF(D248&gt;0,(IF(A248&gt;Penalty!$B$19,Penalty!$I$5,0)+G247)/D248,0)</f>
        <v>46.6815525507708</v>
      </c>
    </row>
    <row r="249" customFormat="false" ht="15" hidden="false" customHeight="false" outlineLevel="0" collapsed="false">
      <c r="A249" s="23" t="n">
        <f aca="false">Penalty!$B$5+245</f>
        <v>46372</v>
      </c>
      <c r="B249" s="24" t="n">
        <f aca="false">IF(YEAR(A249)&gt;2026,Penalty!$B$16/100,IFERROR(INDEX(Rates!$B$4:$E$15,MATCH(YEAR(A249),Rates!$A$4:$A$15,0),ROUNDUP(MONTH(A249)/3,0))/100,0.03))</f>
        <v>0.07</v>
      </c>
      <c r="C249" s="25" t="n">
        <f aca="false">MAX(0,Penalty!$B$4-SUMIFS(Penalty!$C$10:$C$12,Penalty!$B$10:$B$12,"&lt;"&amp;A249))</f>
        <v>12000</v>
      </c>
      <c r="D249" s="25" t="n">
        <f aca="false">IF(A249&lt;=Penalty!$B$8,C249+F248+IF(A249&gt;Penalty!$B$19,Penalty!$I$5,0)+G248,0)</f>
        <v>0</v>
      </c>
      <c r="E249" s="26" t="n">
        <f aca="false">D249*B249/365</f>
        <v>0</v>
      </c>
      <c r="F249" s="25" t="n">
        <f aca="false">F248+E249*(1-IF(D249&gt;0,(IF(A249&gt;Penalty!$B$19,Penalty!$I$5,0)+G248)/D249,0))</f>
        <v>345.789278153858</v>
      </c>
      <c r="G249" s="25" t="n">
        <f aca="false">G248+E249*IF(D249&gt;0,(IF(A249&gt;Penalty!$B$19,Penalty!$I$5,0)+G248)/D249,0)</f>
        <v>46.6815525507708</v>
      </c>
    </row>
    <row r="250" customFormat="false" ht="15" hidden="false" customHeight="false" outlineLevel="0" collapsed="false">
      <c r="A250" s="23" t="n">
        <f aca="false">Penalty!$B$5+246</f>
        <v>46373</v>
      </c>
      <c r="B250" s="24" t="n">
        <f aca="false">IF(YEAR(A250)&gt;2026,Penalty!$B$16/100,IFERROR(INDEX(Rates!$B$4:$E$15,MATCH(YEAR(A250),Rates!$A$4:$A$15,0),ROUNDUP(MONTH(A250)/3,0))/100,0.03))</f>
        <v>0.07</v>
      </c>
      <c r="C250" s="25" t="n">
        <f aca="false">MAX(0,Penalty!$B$4-SUMIFS(Penalty!$C$10:$C$12,Penalty!$B$10:$B$12,"&lt;"&amp;A250))</f>
        <v>12000</v>
      </c>
      <c r="D250" s="25" t="n">
        <f aca="false">IF(A250&lt;=Penalty!$B$8,C250+F249+IF(A250&gt;Penalty!$B$19,Penalty!$I$5,0)+G249,0)</f>
        <v>0</v>
      </c>
      <c r="E250" s="26" t="n">
        <f aca="false">D250*B250/365</f>
        <v>0</v>
      </c>
      <c r="F250" s="25" t="n">
        <f aca="false">F249+E250*(1-IF(D250&gt;0,(IF(A250&gt;Penalty!$B$19,Penalty!$I$5,0)+G249)/D250,0))</f>
        <v>345.789278153858</v>
      </c>
      <c r="G250" s="25" t="n">
        <f aca="false">G249+E250*IF(D250&gt;0,(IF(A250&gt;Penalty!$B$19,Penalty!$I$5,0)+G249)/D250,0)</f>
        <v>46.6815525507708</v>
      </c>
    </row>
    <row r="251" customFormat="false" ht="15" hidden="false" customHeight="false" outlineLevel="0" collapsed="false">
      <c r="A251" s="23" t="n">
        <f aca="false">Penalty!$B$5+247</f>
        <v>46374</v>
      </c>
      <c r="B251" s="24" t="n">
        <f aca="false">IF(YEAR(A251)&gt;2026,Penalty!$B$16/100,IFERROR(INDEX(Rates!$B$4:$E$15,MATCH(YEAR(A251),Rates!$A$4:$A$15,0),ROUNDUP(MONTH(A251)/3,0))/100,0.03))</f>
        <v>0.07</v>
      </c>
      <c r="C251" s="25" t="n">
        <f aca="false">MAX(0,Penalty!$B$4-SUMIFS(Penalty!$C$10:$C$12,Penalty!$B$10:$B$12,"&lt;"&amp;A251))</f>
        <v>12000</v>
      </c>
      <c r="D251" s="25" t="n">
        <f aca="false">IF(A251&lt;=Penalty!$B$8,C251+F250+IF(A251&gt;Penalty!$B$19,Penalty!$I$5,0)+G250,0)</f>
        <v>0</v>
      </c>
      <c r="E251" s="26" t="n">
        <f aca="false">D251*B251/365</f>
        <v>0</v>
      </c>
      <c r="F251" s="25" t="n">
        <f aca="false">F250+E251*(1-IF(D251&gt;0,(IF(A251&gt;Penalty!$B$19,Penalty!$I$5,0)+G250)/D251,0))</f>
        <v>345.789278153858</v>
      </c>
      <c r="G251" s="25" t="n">
        <f aca="false">G250+E251*IF(D251&gt;0,(IF(A251&gt;Penalty!$B$19,Penalty!$I$5,0)+G250)/D251,0)</f>
        <v>46.6815525507708</v>
      </c>
    </row>
    <row r="252" customFormat="false" ht="15" hidden="false" customHeight="false" outlineLevel="0" collapsed="false">
      <c r="A252" s="23" t="n">
        <f aca="false">Penalty!$B$5+248</f>
        <v>46375</v>
      </c>
      <c r="B252" s="24" t="n">
        <f aca="false">IF(YEAR(A252)&gt;2026,Penalty!$B$16/100,IFERROR(INDEX(Rates!$B$4:$E$15,MATCH(YEAR(A252),Rates!$A$4:$A$15,0),ROUNDUP(MONTH(A252)/3,0))/100,0.03))</f>
        <v>0.07</v>
      </c>
      <c r="C252" s="25" t="n">
        <f aca="false">MAX(0,Penalty!$B$4-SUMIFS(Penalty!$C$10:$C$12,Penalty!$B$10:$B$12,"&lt;"&amp;A252))</f>
        <v>12000</v>
      </c>
      <c r="D252" s="25" t="n">
        <f aca="false">IF(A252&lt;=Penalty!$B$8,C252+F251+IF(A252&gt;Penalty!$B$19,Penalty!$I$5,0)+G251,0)</f>
        <v>0</v>
      </c>
      <c r="E252" s="26" t="n">
        <f aca="false">D252*B252/365</f>
        <v>0</v>
      </c>
      <c r="F252" s="25" t="n">
        <f aca="false">F251+E252*(1-IF(D252&gt;0,(IF(A252&gt;Penalty!$B$19,Penalty!$I$5,0)+G251)/D252,0))</f>
        <v>345.789278153858</v>
      </c>
      <c r="G252" s="25" t="n">
        <f aca="false">G251+E252*IF(D252&gt;0,(IF(A252&gt;Penalty!$B$19,Penalty!$I$5,0)+G251)/D252,0)</f>
        <v>46.6815525507708</v>
      </c>
    </row>
    <row r="253" customFormat="false" ht="15" hidden="false" customHeight="false" outlineLevel="0" collapsed="false">
      <c r="A253" s="23" t="n">
        <f aca="false">Penalty!$B$5+249</f>
        <v>46376</v>
      </c>
      <c r="B253" s="24" t="n">
        <f aca="false">IF(YEAR(A253)&gt;2026,Penalty!$B$16/100,IFERROR(INDEX(Rates!$B$4:$E$15,MATCH(YEAR(A253),Rates!$A$4:$A$15,0),ROUNDUP(MONTH(A253)/3,0))/100,0.03))</f>
        <v>0.07</v>
      </c>
      <c r="C253" s="25" t="n">
        <f aca="false">MAX(0,Penalty!$B$4-SUMIFS(Penalty!$C$10:$C$12,Penalty!$B$10:$B$12,"&lt;"&amp;A253))</f>
        <v>12000</v>
      </c>
      <c r="D253" s="25" t="n">
        <f aca="false">IF(A253&lt;=Penalty!$B$8,C253+F252+IF(A253&gt;Penalty!$B$19,Penalty!$I$5,0)+G252,0)</f>
        <v>0</v>
      </c>
      <c r="E253" s="26" t="n">
        <f aca="false">D253*B253/365</f>
        <v>0</v>
      </c>
      <c r="F253" s="25" t="n">
        <f aca="false">F252+E253*(1-IF(D253&gt;0,(IF(A253&gt;Penalty!$B$19,Penalty!$I$5,0)+G252)/D253,0))</f>
        <v>345.789278153858</v>
      </c>
      <c r="G253" s="25" t="n">
        <f aca="false">G252+E253*IF(D253&gt;0,(IF(A253&gt;Penalty!$B$19,Penalty!$I$5,0)+G252)/D253,0)</f>
        <v>46.6815525507708</v>
      </c>
    </row>
    <row r="254" customFormat="false" ht="15" hidden="false" customHeight="false" outlineLevel="0" collapsed="false">
      <c r="A254" s="23" t="n">
        <f aca="false">Penalty!$B$5+250</f>
        <v>46377</v>
      </c>
      <c r="B254" s="24" t="n">
        <f aca="false">IF(YEAR(A254)&gt;2026,Penalty!$B$16/100,IFERROR(INDEX(Rates!$B$4:$E$15,MATCH(YEAR(A254),Rates!$A$4:$A$15,0),ROUNDUP(MONTH(A254)/3,0))/100,0.03))</f>
        <v>0.07</v>
      </c>
      <c r="C254" s="25" t="n">
        <f aca="false">MAX(0,Penalty!$B$4-SUMIFS(Penalty!$C$10:$C$12,Penalty!$B$10:$B$12,"&lt;"&amp;A254))</f>
        <v>12000</v>
      </c>
      <c r="D254" s="25" t="n">
        <f aca="false">IF(A254&lt;=Penalty!$B$8,C254+F253+IF(A254&gt;Penalty!$B$19,Penalty!$I$5,0)+G253,0)</f>
        <v>0</v>
      </c>
      <c r="E254" s="26" t="n">
        <f aca="false">D254*B254/365</f>
        <v>0</v>
      </c>
      <c r="F254" s="25" t="n">
        <f aca="false">F253+E254*(1-IF(D254&gt;0,(IF(A254&gt;Penalty!$B$19,Penalty!$I$5,0)+G253)/D254,0))</f>
        <v>345.789278153858</v>
      </c>
      <c r="G254" s="25" t="n">
        <f aca="false">G253+E254*IF(D254&gt;0,(IF(A254&gt;Penalty!$B$19,Penalty!$I$5,0)+G253)/D254,0)</f>
        <v>46.6815525507708</v>
      </c>
    </row>
    <row r="255" customFormat="false" ht="15" hidden="false" customHeight="false" outlineLevel="0" collapsed="false">
      <c r="A255" s="23" t="n">
        <f aca="false">Penalty!$B$5+251</f>
        <v>46378</v>
      </c>
      <c r="B255" s="24" t="n">
        <f aca="false">IF(YEAR(A255)&gt;2026,Penalty!$B$16/100,IFERROR(INDEX(Rates!$B$4:$E$15,MATCH(YEAR(A255),Rates!$A$4:$A$15,0),ROUNDUP(MONTH(A255)/3,0))/100,0.03))</f>
        <v>0.07</v>
      </c>
      <c r="C255" s="25" t="n">
        <f aca="false">MAX(0,Penalty!$B$4-SUMIFS(Penalty!$C$10:$C$12,Penalty!$B$10:$B$12,"&lt;"&amp;A255))</f>
        <v>12000</v>
      </c>
      <c r="D255" s="25" t="n">
        <f aca="false">IF(A255&lt;=Penalty!$B$8,C255+F254+IF(A255&gt;Penalty!$B$19,Penalty!$I$5,0)+G254,0)</f>
        <v>0</v>
      </c>
      <c r="E255" s="26" t="n">
        <f aca="false">D255*B255/365</f>
        <v>0</v>
      </c>
      <c r="F255" s="25" t="n">
        <f aca="false">F254+E255*(1-IF(D255&gt;0,(IF(A255&gt;Penalty!$B$19,Penalty!$I$5,0)+G254)/D255,0))</f>
        <v>345.789278153858</v>
      </c>
      <c r="G255" s="25" t="n">
        <f aca="false">G254+E255*IF(D255&gt;0,(IF(A255&gt;Penalty!$B$19,Penalty!$I$5,0)+G254)/D255,0)</f>
        <v>46.6815525507708</v>
      </c>
    </row>
    <row r="256" customFormat="false" ht="15" hidden="false" customHeight="false" outlineLevel="0" collapsed="false">
      <c r="A256" s="23" t="n">
        <f aca="false">Penalty!$B$5+252</f>
        <v>46379</v>
      </c>
      <c r="B256" s="24" t="n">
        <f aca="false">IF(YEAR(A256)&gt;2026,Penalty!$B$16/100,IFERROR(INDEX(Rates!$B$4:$E$15,MATCH(YEAR(A256),Rates!$A$4:$A$15,0),ROUNDUP(MONTH(A256)/3,0))/100,0.03))</f>
        <v>0.07</v>
      </c>
      <c r="C256" s="25" t="n">
        <f aca="false">MAX(0,Penalty!$B$4-SUMIFS(Penalty!$C$10:$C$12,Penalty!$B$10:$B$12,"&lt;"&amp;A256))</f>
        <v>12000</v>
      </c>
      <c r="D256" s="25" t="n">
        <f aca="false">IF(A256&lt;=Penalty!$B$8,C256+F255+IF(A256&gt;Penalty!$B$19,Penalty!$I$5,0)+G255,0)</f>
        <v>0</v>
      </c>
      <c r="E256" s="26" t="n">
        <f aca="false">D256*B256/365</f>
        <v>0</v>
      </c>
      <c r="F256" s="25" t="n">
        <f aca="false">F255+E256*(1-IF(D256&gt;0,(IF(A256&gt;Penalty!$B$19,Penalty!$I$5,0)+G255)/D256,0))</f>
        <v>345.789278153858</v>
      </c>
      <c r="G256" s="25" t="n">
        <f aca="false">G255+E256*IF(D256&gt;0,(IF(A256&gt;Penalty!$B$19,Penalty!$I$5,0)+G255)/D256,0)</f>
        <v>46.6815525507708</v>
      </c>
    </row>
    <row r="257" customFormat="false" ht="15" hidden="false" customHeight="false" outlineLevel="0" collapsed="false">
      <c r="A257" s="23" t="n">
        <f aca="false">Penalty!$B$5+253</f>
        <v>46380</v>
      </c>
      <c r="B257" s="24" t="n">
        <f aca="false">IF(YEAR(A257)&gt;2026,Penalty!$B$16/100,IFERROR(INDEX(Rates!$B$4:$E$15,MATCH(YEAR(A257),Rates!$A$4:$A$15,0),ROUNDUP(MONTH(A257)/3,0))/100,0.03))</f>
        <v>0.07</v>
      </c>
      <c r="C257" s="25" t="n">
        <f aca="false">MAX(0,Penalty!$B$4-SUMIFS(Penalty!$C$10:$C$12,Penalty!$B$10:$B$12,"&lt;"&amp;A257))</f>
        <v>12000</v>
      </c>
      <c r="D257" s="25" t="n">
        <f aca="false">IF(A257&lt;=Penalty!$B$8,C257+F256+IF(A257&gt;Penalty!$B$19,Penalty!$I$5,0)+G256,0)</f>
        <v>0</v>
      </c>
      <c r="E257" s="26" t="n">
        <f aca="false">D257*B257/365</f>
        <v>0</v>
      </c>
      <c r="F257" s="25" t="n">
        <f aca="false">F256+E257*(1-IF(D257&gt;0,(IF(A257&gt;Penalty!$B$19,Penalty!$I$5,0)+G256)/D257,0))</f>
        <v>345.789278153858</v>
      </c>
      <c r="G257" s="25" t="n">
        <f aca="false">G256+E257*IF(D257&gt;0,(IF(A257&gt;Penalty!$B$19,Penalty!$I$5,0)+G256)/D257,0)</f>
        <v>46.6815525507708</v>
      </c>
    </row>
    <row r="258" customFormat="false" ht="15" hidden="false" customHeight="false" outlineLevel="0" collapsed="false">
      <c r="A258" s="23" t="n">
        <f aca="false">Penalty!$B$5+254</f>
        <v>46381</v>
      </c>
      <c r="B258" s="24" t="n">
        <f aca="false">IF(YEAR(A258)&gt;2026,Penalty!$B$16/100,IFERROR(INDEX(Rates!$B$4:$E$15,MATCH(YEAR(A258),Rates!$A$4:$A$15,0),ROUNDUP(MONTH(A258)/3,0))/100,0.03))</f>
        <v>0.07</v>
      </c>
      <c r="C258" s="25" t="n">
        <f aca="false">MAX(0,Penalty!$B$4-SUMIFS(Penalty!$C$10:$C$12,Penalty!$B$10:$B$12,"&lt;"&amp;A258))</f>
        <v>12000</v>
      </c>
      <c r="D258" s="25" t="n">
        <f aca="false">IF(A258&lt;=Penalty!$B$8,C258+F257+IF(A258&gt;Penalty!$B$19,Penalty!$I$5,0)+G257,0)</f>
        <v>0</v>
      </c>
      <c r="E258" s="26" t="n">
        <f aca="false">D258*B258/365</f>
        <v>0</v>
      </c>
      <c r="F258" s="25" t="n">
        <f aca="false">F257+E258*(1-IF(D258&gt;0,(IF(A258&gt;Penalty!$B$19,Penalty!$I$5,0)+G257)/D258,0))</f>
        <v>345.789278153858</v>
      </c>
      <c r="G258" s="25" t="n">
        <f aca="false">G257+E258*IF(D258&gt;0,(IF(A258&gt;Penalty!$B$19,Penalty!$I$5,0)+G257)/D258,0)</f>
        <v>46.6815525507708</v>
      </c>
    </row>
    <row r="259" customFormat="false" ht="15" hidden="false" customHeight="false" outlineLevel="0" collapsed="false">
      <c r="A259" s="23" t="n">
        <f aca="false">Penalty!$B$5+255</f>
        <v>46382</v>
      </c>
      <c r="B259" s="24" t="n">
        <f aca="false">IF(YEAR(A259)&gt;2026,Penalty!$B$16/100,IFERROR(INDEX(Rates!$B$4:$E$15,MATCH(YEAR(A259),Rates!$A$4:$A$15,0),ROUNDUP(MONTH(A259)/3,0))/100,0.03))</f>
        <v>0.07</v>
      </c>
      <c r="C259" s="25" t="n">
        <f aca="false">MAX(0,Penalty!$B$4-SUMIFS(Penalty!$C$10:$C$12,Penalty!$B$10:$B$12,"&lt;"&amp;A259))</f>
        <v>12000</v>
      </c>
      <c r="D259" s="25" t="n">
        <f aca="false">IF(A259&lt;=Penalty!$B$8,C259+F258+IF(A259&gt;Penalty!$B$19,Penalty!$I$5,0)+G258,0)</f>
        <v>0</v>
      </c>
      <c r="E259" s="26" t="n">
        <f aca="false">D259*B259/365</f>
        <v>0</v>
      </c>
      <c r="F259" s="25" t="n">
        <f aca="false">F258+E259*(1-IF(D259&gt;0,(IF(A259&gt;Penalty!$B$19,Penalty!$I$5,0)+G258)/D259,0))</f>
        <v>345.789278153858</v>
      </c>
      <c r="G259" s="25" t="n">
        <f aca="false">G258+E259*IF(D259&gt;0,(IF(A259&gt;Penalty!$B$19,Penalty!$I$5,0)+G258)/D259,0)</f>
        <v>46.6815525507708</v>
      </c>
    </row>
    <row r="260" customFormat="false" ht="15" hidden="false" customHeight="false" outlineLevel="0" collapsed="false">
      <c r="A260" s="23" t="n">
        <f aca="false">Penalty!$B$5+256</f>
        <v>46383</v>
      </c>
      <c r="B260" s="24" t="n">
        <f aca="false">IF(YEAR(A260)&gt;2026,Penalty!$B$16/100,IFERROR(INDEX(Rates!$B$4:$E$15,MATCH(YEAR(A260),Rates!$A$4:$A$15,0),ROUNDUP(MONTH(A260)/3,0))/100,0.03))</f>
        <v>0.07</v>
      </c>
      <c r="C260" s="25" t="n">
        <f aca="false">MAX(0,Penalty!$B$4-SUMIFS(Penalty!$C$10:$C$12,Penalty!$B$10:$B$12,"&lt;"&amp;A260))</f>
        <v>12000</v>
      </c>
      <c r="D260" s="25" t="n">
        <f aca="false">IF(A260&lt;=Penalty!$B$8,C260+F259+IF(A260&gt;Penalty!$B$19,Penalty!$I$5,0)+G259,0)</f>
        <v>0</v>
      </c>
      <c r="E260" s="26" t="n">
        <f aca="false">D260*B260/365</f>
        <v>0</v>
      </c>
      <c r="F260" s="25" t="n">
        <f aca="false">F259+E260*(1-IF(D260&gt;0,(IF(A260&gt;Penalty!$B$19,Penalty!$I$5,0)+G259)/D260,0))</f>
        <v>345.789278153858</v>
      </c>
      <c r="G260" s="25" t="n">
        <f aca="false">G259+E260*IF(D260&gt;0,(IF(A260&gt;Penalty!$B$19,Penalty!$I$5,0)+G259)/D260,0)</f>
        <v>46.6815525507708</v>
      </c>
    </row>
    <row r="261" customFormat="false" ht="15" hidden="false" customHeight="false" outlineLevel="0" collapsed="false">
      <c r="A261" s="23" t="n">
        <f aca="false">Penalty!$B$5+257</f>
        <v>46384</v>
      </c>
      <c r="B261" s="24" t="n">
        <f aca="false">IF(YEAR(A261)&gt;2026,Penalty!$B$16/100,IFERROR(INDEX(Rates!$B$4:$E$15,MATCH(YEAR(A261),Rates!$A$4:$A$15,0),ROUNDUP(MONTH(A261)/3,0))/100,0.03))</f>
        <v>0.07</v>
      </c>
      <c r="C261" s="25" t="n">
        <f aca="false">MAX(0,Penalty!$B$4-SUMIFS(Penalty!$C$10:$C$12,Penalty!$B$10:$B$12,"&lt;"&amp;A261))</f>
        <v>12000</v>
      </c>
      <c r="D261" s="25" t="n">
        <f aca="false">IF(A261&lt;=Penalty!$B$8,C261+F260+IF(A261&gt;Penalty!$B$19,Penalty!$I$5,0)+G260,0)</f>
        <v>0</v>
      </c>
      <c r="E261" s="26" t="n">
        <f aca="false">D261*B261/365</f>
        <v>0</v>
      </c>
      <c r="F261" s="25" t="n">
        <f aca="false">F260+E261*(1-IF(D261&gt;0,(IF(A261&gt;Penalty!$B$19,Penalty!$I$5,0)+G260)/D261,0))</f>
        <v>345.789278153858</v>
      </c>
      <c r="G261" s="25" t="n">
        <f aca="false">G260+E261*IF(D261&gt;0,(IF(A261&gt;Penalty!$B$19,Penalty!$I$5,0)+G260)/D261,0)</f>
        <v>46.6815525507708</v>
      </c>
    </row>
    <row r="262" customFormat="false" ht="15" hidden="false" customHeight="false" outlineLevel="0" collapsed="false">
      <c r="A262" s="23" t="n">
        <f aca="false">Penalty!$B$5+258</f>
        <v>46385</v>
      </c>
      <c r="B262" s="24" t="n">
        <f aca="false">IF(YEAR(A262)&gt;2026,Penalty!$B$16/100,IFERROR(INDEX(Rates!$B$4:$E$15,MATCH(YEAR(A262),Rates!$A$4:$A$15,0),ROUNDUP(MONTH(A262)/3,0))/100,0.03))</f>
        <v>0.07</v>
      </c>
      <c r="C262" s="25" t="n">
        <f aca="false">MAX(0,Penalty!$B$4-SUMIFS(Penalty!$C$10:$C$12,Penalty!$B$10:$B$12,"&lt;"&amp;A262))</f>
        <v>12000</v>
      </c>
      <c r="D262" s="25" t="n">
        <f aca="false">IF(A262&lt;=Penalty!$B$8,C262+F261+IF(A262&gt;Penalty!$B$19,Penalty!$I$5,0)+G261,0)</f>
        <v>0</v>
      </c>
      <c r="E262" s="26" t="n">
        <f aca="false">D262*B262/365</f>
        <v>0</v>
      </c>
      <c r="F262" s="25" t="n">
        <f aca="false">F261+E262*(1-IF(D262&gt;0,(IF(A262&gt;Penalty!$B$19,Penalty!$I$5,0)+G261)/D262,0))</f>
        <v>345.789278153858</v>
      </c>
      <c r="G262" s="25" t="n">
        <f aca="false">G261+E262*IF(D262&gt;0,(IF(A262&gt;Penalty!$B$19,Penalty!$I$5,0)+G261)/D262,0)</f>
        <v>46.6815525507708</v>
      </c>
    </row>
    <row r="263" customFormat="false" ht="15" hidden="false" customHeight="false" outlineLevel="0" collapsed="false">
      <c r="A263" s="23" t="n">
        <f aca="false">Penalty!$B$5+259</f>
        <v>46386</v>
      </c>
      <c r="B263" s="24" t="n">
        <f aca="false">IF(YEAR(A263)&gt;2026,Penalty!$B$16/100,IFERROR(INDEX(Rates!$B$4:$E$15,MATCH(YEAR(A263),Rates!$A$4:$A$15,0),ROUNDUP(MONTH(A263)/3,0))/100,0.03))</f>
        <v>0.07</v>
      </c>
      <c r="C263" s="25" t="n">
        <f aca="false">MAX(0,Penalty!$B$4-SUMIFS(Penalty!$C$10:$C$12,Penalty!$B$10:$B$12,"&lt;"&amp;A263))</f>
        <v>12000</v>
      </c>
      <c r="D263" s="25" t="n">
        <f aca="false">IF(A263&lt;=Penalty!$B$8,C263+F262+IF(A263&gt;Penalty!$B$19,Penalty!$I$5,0)+G262,0)</f>
        <v>0</v>
      </c>
      <c r="E263" s="26" t="n">
        <f aca="false">D263*B263/365</f>
        <v>0</v>
      </c>
      <c r="F263" s="25" t="n">
        <f aca="false">F262+E263*(1-IF(D263&gt;0,(IF(A263&gt;Penalty!$B$19,Penalty!$I$5,0)+G262)/D263,0))</f>
        <v>345.789278153858</v>
      </c>
      <c r="G263" s="25" t="n">
        <f aca="false">G262+E263*IF(D263&gt;0,(IF(A263&gt;Penalty!$B$19,Penalty!$I$5,0)+G262)/D263,0)</f>
        <v>46.6815525507708</v>
      </c>
    </row>
    <row r="264" customFormat="false" ht="15" hidden="false" customHeight="false" outlineLevel="0" collapsed="false">
      <c r="A264" s="23" t="n">
        <f aca="false">Penalty!$B$5+260</f>
        <v>46387</v>
      </c>
      <c r="B264" s="24" t="n">
        <f aca="false">IF(YEAR(A264)&gt;2026,Penalty!$B$16/100,IFERROR(INDEX(Rates!$B$4:$E$15,MATCH(YEAR(A264),Rates!$A$4:$A$15,0),ROUNDUP(MONTH(A264)/3,0))/100,0.03))</f>
        <v>0.07</v>
      </c>
      <c r="C264" s="25" t="n">
        <f aca="false">MAX(0,Penalty!$B$4-SUMIFS(Penalty!$C$10:$C$12,Penalty!$B$10:$B$12,"&lt;"&amp;A264))</f>
        <v>12000</v>
      </c>
      <c r="D264" s="25" t="n">
        <f aca="false">IF(A264&lt;=Penalty!$B$8,C264+F263+IF(A264&gt;Penalty!$B$19,Penalty!$I$5,0)+G263,0)</f>
        <v>0</v>
      </c>
      <c r="E264" s="26" t="n">
        <f aca="false">D264*B264/365</f>
        <v>0</v>
      </c>
      <c r="F264" s="25" t="n">
        <f aca="false">F263+E264*(1-IF(D264&gt;0,(IF(A264&gt;Penalty!$B$19,Penalty!$I$5,0)+G263)/D264,0))</f>
        <v>345.789278153858</v>
      </c>
      <c r="G264" s="25" t="n">
        <f aca="false">G263+E264*IF(D264&gt;0,(IF(A264&gt;Penalty!$B$19,Penalty!$I$5,0)+G263)/D264,0)</f>
        <v>46.6815525507708</v>
      </c>
    </row>
    <row r="265" customFormat="false" ht="15" hidden="false" customHeight="false" outlineLevel="0" collapsed="false">
      <c r="A265" s="23" t="n">
        <f aca="false">Penalty!$B$5+261</f>
        <v>46388</v>
      </c>
      <c r="B265" s="24" t="n">
        <f aca="false">IF(YEAR(A265)&gt;2026,Penalty!$B$16/100,IFERROR(INDEX(Rates!$B$4:$E$15,MATCH(YEAR(A265),Rates!$A$4:$A$15,0),ROUNDUP(MONTH(A265)/3,0))/100,0.03))</f>
        <v>0.07</v>
      </c>
      <c r="C265" s="25" t="n">
        <f aca="false">MAX(0,Penalty!$B$4-SUMIFS(Penalty!$C$10:$C$12,Penalty!$B$10:$B$12,"&lt;"&amp;A265))</f>
        <v>12000</v>
      </c>
      <c r="D265" s="25" t="n">
        <f aca="false">IF(A265&lt;=Penalty!$B$8,C265+F264+IF(A265&gt;Penalty!$B$19,Penalty!$I$5,0)+G264,0)</f>
        <v>0</v>
      </c>
      <c r="E265" s="26" t="n">
        <f aca="false">D265*B265/365</f>
        <v>0</v>
      </c>
      <c r="F265" s="25" t="n">
        <f aca="false">F264+E265*(1-IF(D265&gt;0,(IF(A265&gt;Penalty!$B$19,Penalty!$I$5,0)+G264)/D265,0))</f>
        <v>345.789278153858</v>
      </c>
      <c r="G265" s="25" t="n">
        <f aca="false">G264+E265*IF(D265&gt;0,(IF(A265&gt;Penalty!$B$19,Penalty!$I$5,0)+G264)/D265,0)</f>
        <v>46.6815525507708</v>
      </c>
    </row>
    <row r="266" customFormat="false" ht="15" hidden="false" customHeight="false" outlineLevel="0" collapsed="false">
      <c r="A266" s="23" t="n">
        <f aca="false">Penalty!$B$5+262</f>
        <v>46389</v>
      </c>
      <c r="B266" s="24" t="n">
        <f aca="false">IF(YEAR(A266)&gt;2026,Penalty!$B$16/100,IFERROR(INDEX(Rates!$B$4:$E$15,MATCH(YEAR(A266),Rates!$A$4:$A$15,0),ROUNDUP(MONTH(A266)/3,0))/100,0.03))</f>
        <v>0.07</v>
      </c>
      <c r="C266" s="25" t="n">
        <f aca="false">MAX(0,Penalty!$B$4-SUMIFS(Penalty!$C$10:$C$12,Penalty!$B$10:$B$12,"&lt;"&amp;A266))</f>
        <v>12000</v>
      </c>
      <c r="D266" s="25" t="n">
        <f aca="false">IF(A266&lt;=Penalty!$B$8,C266+F265+IF(A266&gt;Penalty!$B$19,Penalty!$I$5,0)+G265,0)</f>
        <v>0</v>
      </c>
      <c r="E266" s="26" t="n">
        <f aca="false">D266*B266/365</f>
        <v>0</v>
      </c>
      <c r="F266" s="25" t="n">
        <f aca="false">F265+E266*(1-IF(D266&gt;0,(IF(A266&gt;Penalty!$B$19,Penalty!$I$5,0)+G265)/D266,0))</f>
        <v>345.789278153858</v>
      </c>
      <c r="G266" s="25" t="n">
        <f aca="false">G265+E266*IF(D266&gt;0,(IF(A266&gt;Penalty!$B$19,Penalty!$I$5,0)+G265)/D266,0)</f>
        <v>46.6815525507708</v>
      </c>
    </row>
    <row r="267" customFormat="false" ht="15" hidden="false" customHeight="false" outlineLevel="0" collapsed="false">
      <c r="A267" s="23" t="n">
        <f aca="false">Penalty!$B$5+263</f>
        <v>46390</v>
      </c>
      <c r="B267" s="24" t="n">
        <f aca="false">IF(YEAR(A267)&gt;2026,Penalty!$B$16/100,IFERROR(INDEX(Rates!$B$4:$E$15,MATCH(YEAR(A267),Rates!$A$4:$A$15,0),ROUNDUP(MONTH(A267)/3,0))/100,0.03))</f>
        <v>0.07</v>
      </c>
      <c r="C267" s="25" t="n">
        <f aca="false">MAX(0,Penalty!$B$4-SUMIFS(Penalty!$C$10:$C$12,Penalty!$B$10:$B$12,"&lt;"&amp;A267))</f>
        <v>12000</v>
      </c>
      <c r="D267" s="25" t="n">
        <f aca="false">IF(A267&lt;=Penalty!$B$8,C267+F266+IF(A267&gt;Penalty!$B$19,Penalty!$I$5,0)+G266,0)</f>
        <v>0</v>
      </c>
      <c r="E267" s="26" t="n">
        <f aca="false">D267*B267/365</f>
        <v>0</v>
      </c>
      <c r="F267" s="25" t="n">
        <f aca="false">F266+E267*(1-IF(D267&gt;0,(IF(A267&gt;Penalty!$B$19,Penalty!$I$5,0)+G266)/D267,0))</f>
        <v>345.789278153858</v>
      </c>
      <c r="G267" s="25" t="n">
        <f aca="false">G266+E267*IF(D267&gt;0,(IF(A267&gt;Penalty!$B$19,Penalty!$I$5,0)+G266)/D267,0)</f>
        <v>46.6815525507708</v>
      </c>
    </row>
    <row r="268" customFormat="false" ht="15" hidden="false" customHeight="false" outlineLevel="0" collapsed="false">
      <c r="A268" s="23" t="n">
        <f aca="false">Penalty!$B$5+264</f>
        <v>46391</v>
      </c>
      <c r="B268" s="24" t="n">
        <f aca="false">IF(YEAR(A268)&gt;2026,Penalty!$B$16/100,IFERROR(INDEX(Rates!$B$4:$E$15,MATCH(YEAR(A268),Rates!$A$4:$A$15,0),ROUNDUP(MONTH(A268)/3,0))/100,0.03))</f>
        <v>0.07</v>
      </c>
      <c r="C268" s="25" t="n">
        <f aca="false">MAX(0,Penalty!$B$4-SUMIFS(Penalty!$C$10:$C$12,Penalty!$B$10:$B$12,"&lt;"&amp;A268))</f>
        <v>12000</v>
      </c>
      <c r="D268" s="25" t="n">
        <f aca="false">IF(A268&lt;=Penalty!$B$8,C268+F267+IF(A268&gt;Penalty!$B$19,Penalty!$I$5,0)+G267,0)</f>
        <v>0</v>
      </c>
      <c r="E268" s="26" t="n">
        <f aca="false">D268*B268/365</f>
        <v>0</v>
      </c>
      <c r="F268" s="25" t="n">
        <f aca="false">F267+E268*(1-IF(D268&gt;0,(IF(A268&gt;Penalty!$B$19,Penalty!$I$5,0)+G267)/D268,0))</f>
        <v>345.789278153858</v>
      </c>
      <c r="G268" s="25" t="n">
        <f aca="false">G267+E268*IF(D268&gt;0,(IF(A268&gt;Penalty!$B$19,Penalty!$I$5,0)+G267)/D268,0)</f>
        <v>46.6815525507708</v>
      </c>
    </row>
    <row r="269" customFormat="false" ht="15" hidden="false" customHeight="false" outlineLevel="0" collapsed="false">
      <c r="A269" s="23" t="n">
        <f aca="false">Penalty!$B$5+265</f>
        <v>46392</v>
      </c>
      <c r="B269" s="24" t="n">
        <f aca="false">IF(YEAR(A269)&gt;2026,Penalty!$B$16/100,IFERROR(INDEX(Rates!$B$4:$E$15,MATCH(YEAR(A269),Rates!$A$4:$A$15,0),ROUNDUP(MONTH(A269)/3,0))/100,0.03))</f>
        <v>0.07</v>
      </c>
      <c r="C269" s="25" t="n">
        <f aca="false">MAX(0,Penalty!$B$4-SUMIFS(Penalty!$C$10:$C$12,Penalty!$B$10:$B$12,"&lt;"&amp;A269))</f>
        <v>12000</v>
      </c>
      <c r="D269" s="25" t="n">
        <f aca="false">IF(A269&lt;=Penalty!$B$8,C269+F268+IF(A269&gt;Penalty!$B$19,Penalty!$I$5,0)+G268,0)</f>
        <v>0</v>
      </c>
      <c r="E269" s="26" t="n">
        <f aca="false">D269*B269/365</f>
        <v>0</v>
      </c>
      <c r="F269" s="25" t="n">
        <f aca="false">F268+E269*(1-IF(D269&gt;0,(IF(A269&gt;Penalty!$B$19,Penalty!$I$5,0)+G268)/D269,0))</f>
        <v>345.789278153858</v>
      </c>
      <c r="G269" s="25" t="n">
        <f aca="false">G268+E269*IF(D269&gt;0,(IF(A269&gt;Penalty!$B$19,Penalty!$I$5,0)+G268)/D269,0)</f>
        <v>46.6815525507708</v>
      </c>
    </row>
    <row r="270" customFormat="false" ht="15" hidden="false" customHeight="false" outlineLevel="0" collapsed="false">
      <c r="A270" s="23" t="n">
        <f aca="false">Penalty!$B$5+266</f>
        <v>46393</v>
      </c>
      <c r="B270" s="24" t="n">
        <f aca="false">IF(YEAR(A270)&gt;2026,Penalty!$B$16/100,IFERROR(INDEX(Rates!$B$4:$E$15,MATCH(YEAR(A270),Rates!$A$4:$A$15,0),ROUNDUP(MONTH(A270)/3,0))/100,0.03))</f>
        <v>0.07</v>
      </c>
      <c r="C270" s="25" t="n">
        <f aca="false">MAX(0,Penalty!$B$4-SUMIFS(Penalty!$C$10:$C$12,Penalty!$B$10:$B$12,"&lt;"&amp;A270))</f>
        <v>12000</v>
      </c>
      <c r="D270" s="25" t="n">
        <f aca="false">IF(A270&lt;=Penalty!$B$8,C270+F269+IF(A270&gt;Penalty!$B$19,Penalty!$I$5,0)+G269,0)</f>
        <v>0</v>
      </c>
      <c r="E270" s="26" t="n">
        <f aca="false">D270*B270/365</f>
        <v>0</v>
      </c>
      <c r="F270" s="25" t="n">
        <f aca="false">F269+E270*(1-IF(D270&gt;0,(IF(A270&gt;Penalty!$B$19,Penalty!$I$5,0)+G269)/D270,0))</f>
        <v>345.789278153858</v>
      </c>
      <c r="G270" s="25" t="n">
        <f aca="false">G269+E270*IF(D270&gt;0,(IF(A270&gt;Penalty!$B$19,Penalty!$I$5,0)+G269)/D270,0)</f>
        <v>46.6815525507708</v>
      </c>
    </row>
    <row r="271" customFormat="false" ht="15" hidden="false" customHeight="false" outlineLevel="0" collapsed="false">
      <c r="A271" s="23" t="n">
        <f aca="false">Penalty!$B$5+267</f>
        <v>46394</v>
      </c>
      <c r="B271" s="24" t="n">
        <f aca="false">IF(YEAR(A271)&gt;2026,Penalty!$B$16/100,IFERROR(INDEX(Rates!$B$4:$E$15,MATCH(YEAR(A271),Rates!$A$4:$A$15,0),ROUNDUP(MONTH(A271)/3,0))/100,0.03))</f>
        <v>0.07</v>
      </c>
      <c r="C271" s="25" t="n">
        <f aca="false">MAX(0,Penalty!$B$4-SUMIFS(Penalty!$C$10:$C$12,Penalty!$B$10:$B$12,"&lt;"&amp;A271))</f>
        <v>12000</v>
      </c>
      <c r="D271" s="25" t="n">
        <f aca="false">IF(A271&lt;=Penalty!$B$8,C271+F270+IF(A271&gt;Penalty!$B$19,Penalty!$I$5,0)+G270,0)</f>
        <v>0</v>
      </c>
      <c r="E271" s="26" t="n">
        <f aca="false">D271*B271/365</f>
        <v>0</v>
      </c>
      <c r="F271" s="25" t="n">
        <f aca="false">F270+E271*(1-IF(D271&gt;0,(IF(A271&gt;Penalty!$B$19,Penalty!$I$5,0)+G270)/D271,0))</f>
        <v>345.789278153858</v>
      </c>
      <c r="G271" s="25" t="n">
        <f aca="false">G270+E271*IF(D271&gt;0,(IF(A271&gt;Penalty!$B$19,Penalty!$I$5,0)+G270)/D271,0)</f>
        <v>46.6815525507708</v>
      </c>
    </row>
    <row r="272" customFormat="false" ht="15" hidden="false" customHeight="false" outlineLevel="0" collapsed="false">
      <c r="A272" s="23" t="n">
        <f aca="false">Penalty!$B$5+268</f>
        <v>46395</v>
      </c>
      <c r="B272" s="24" t="n">
        <f aca="false">IF(YEAR(A272)&gt;2026,Penalty!$B$16/100,IFERROR(INDEX(Rates!$B$4:$E$15,MATCH(YEAR(A272),Rates!$A$4:$A$15,0),ROUNDUP(MONTH(A272)/3,0))/100,0.03))</f>
        <v>0.07</v>
      </c>
      <c r="C272" s="25" t="n">
        <f aca="false">MAX(0,Penalty!$B$4-SUMIFS(Penalty!$C$10:$C$12,Penalty!$B$10:$B$12,"&lt;"&amp;A272))</f>
        <v>12000</v>
      </c>
      <c r="D272" s="25" t="n">
        <f aca="false">IF(A272&lt;=Penalty!$B$8,C272+F271+IF(A272&gt;Penalty!$B$19,Penalty!$I$5,0)+G271,0)</f>
        <v>0</v>
      </c>
      <c r="E272" s="26" t="n">
        <f aca="false">D272*B272/365</f>
        <v>0</v>
      </c>
      <c r="F272" s="25" t="n">
        <f aca="false">F271+E272*(1-IF(D272&gt;0,(IF(A272&gt;Penalty!$B$19,Penalty!$I$5,0)+G271)/D272,0))</f>
        <v>345.789278153858</v>
      </c>
      <c r="G272" s="25" t="n">
        <f aca="false">G271+E272*IF(D272&gt;0,(IF(A272&gt;Penalty!$B$19,Penalty!$I$5,0)+G271)/D272,0)</f>
        <v>46.6815525507708</v>
      </c>
    </row>
    <row r="273" customFormat="false" ht="15" hidden="false" customHeight="false" outlineLevel="0" collapsed="false">
      <c r="A273" s="23" t="n">
        <f aca="false">Penalty!$B$5+269</f>
        <v>46396</v>
      </c>
      <c r="B273" s="24" t="n">
        <f aca="false">IF(YEAR(A273)&gt;2026,Penalty!$B$16/100,IFERROR(INDEX(Rates!$B$4:$E$15,MATCH(YEAR(A273),Rates!$A$4:$A$15,0),ROUNDUP(MONTH(A273)/3,0))/100,0.03))</f>
        <v>0.07</v>
      </c>
      <c r="C273" s="25" t="n">
        <f aca="false">MAX(0,Penalty!$B$4-SUMIFS(Penalty!$C$10:$C$12,Penalty!$B$10:$B$12,"&lt;"&amp;A273))</f>
        <v>12000</v>
      </c>
      <c r="D273" s="25" t="n">
        <f aca="false">IF(A273&lt;=Penalty!$B$8,C273+F272+IF(A273&gt;Penalty!$B$19,Penalty!$I$5,0)+G272,0)</f>
        <v>0</v>
      </c>
      <c r="E273" s="26" t="n">
        <f aca="false">D273*B273/365</f>
        <v>0</v>
      </c>
      <c r="F273" s="25" t="n">
        <f aca="false">F272+E273*(1-IF(D273&gt;0,(IF(A273&gt;Penalty!$B$19,Penalty!$I$5,0)+G272)/D273,0))</f>
        <v>345.789278153858</v>
      </c>
      <c r="G273" s="25" t="n">
        <f aca="false">G272+E273*IF(D273&gt;0,(IF(A273&gt;Penalty!$B$19,Penalty!$I$5,0)+G272)/D273,0)</f>
        <v>46.6815525507708</v>
      </c>
    </row>
    <row r="274" customFormat="false" ht="15" hidden="false" customHeight="false" outlineLevel="0" collapsed="false">
      <c r="A274" s="23" t="n">
        <f aca="false">Penalty!$B$5+270</f>
        <v>46397</v>
      </c>
      <c r="B274" s="24" t="n">
        <f aca="false">IF(YEAR(A274)&gt;2026,Penalty!$B$16/100,IFERROR(INDEX(Rates!$B$4:$E$15,MATCH(YEAR(A274),Rates!$A$4:$A$15,0),ROUNDUP(MONTH(A274)/3,0))/100,0.03))</f>
        <v>0.07</v>
      </c>
      <c r="C274" s="25" t="n">
        <f aca="false">MAX(0,Penalty!$B$4-SUMIFS(Penalty!$C$10:$C$12,Penalty!$B$10:$B$12,"&lt;"&amp;A274))</f>
        <v>12000</v>
      </c>
      <c r="D274" s="25" t="n">
        <f aca="false">IF(A274&lt;=Penalty!$B$8,C274+F273+IF(A274&gt;Penalty!$B$19,Penalty!$I$5,0)+G273,0)</f>
        <v>0</v>
      </c>
      <c r="E274" s="26" t="n">
        <f aca="false">D274*B274/365</f>
        <v>0</v>
      </c>
      <c r="F274" s="25" t="n">
        <f aca="false">F273+E274*(1-IF(D274&gt;0,(IF(A274&gt;Penalty!$B$19,Penalty!$I$5,0)+G273)/D274,0))</f>
        <v>345.789278153858</v>
      </c>
      <c r="G274" s="25" t="n">
        <f aca="false">G273+E274*IF(D274&gt;0,(IF(A274&gt;Penalty!$B$19,Penalty!$I$5,0)+G273)/D274,0)</f>
        <v>46.6815525507708</v>
      </c>
    </row>
    <row r="275" customFormat="false" ht="15" hidden="false" customHeight="false" outlineLevel="0" collapsed="false">
      <c r="A275" s="23" t="n">
        <f aca="false">Penalty!$B$5+271</f>
        <v>46398</v>
      </c>
      <c r="B275" s="24" t="n">
        <f aca="false">IF(YEAR(A275)&gt;2026,Penalty!$B$16/100,IFERROR(INDEX(Rates!$B$4:$E$15,MATCH(YEAR(A275),Rates!$A$4:$A$15,0),ROUNDUP(MONTH(A275)/3,0))/100,0.03))</f>
        <v>0.07</v>
      </c>
      <c r="C275" s="25" t="n">
        <f aca="false">MAX(0,Penalty!$B$4-SUMIFS(Penalty!$C$10:$C$12,Penalty!$B$10:$B$12,"&lt;"&amp;A275))</f>
        <v>12000</v>
      </c>
      <c r="D275" s="25" t="n">
        <f aca="false">IF(A275&lt;=Penalty!$B$8,C275+F274+IF(A275&gt;Penalty!$B$19,Penalty!$I$5,0)+G274,0)</f>
        <v>0</v>
      </c>
      <c r="E275" s="26" t="n">
        <f aca="false">D275*B275/365</f>
        <v>0</v>
      </c>
      <c r="F275" s="25" t="n">
        <f aca="false">F274+E275*(1-IF(D275&gt;0,(IF(A275&gt;Penalty!$B$19,Penalty!$I$5,0)+G274)/D275,0))</f>
        <v>345.789278153858</v>
      </c>
      <c r="G275" s="25" t="n">
        <f aca="false">G274+E275*IF(D275&gt;0,(IF(A275&gt;Penalty!$B$19,Penalty!$I$5,0)+G274)/D275,0)</f>
        <v>46.6815525507708</v>
      </c>
    </row>
    <row r="276" customFormat="false" ht="15" hidden="false" customHeight="false" outlineLevel="0" collapsed="false">
      <c r="A276" s="23" t="n">
        <f aca="false">Penalty!$B$5+272</f>
        <v>46399</v>
      </c>
      <c r="B276" s="24" t="n">
        <f aca="false">IF(YEAR(A276)&gt;2026,Penalty!$B$16/100,IFERROR(INDEX(Rates!$B$4:$E$15,MATCH(YEAR(A276),Rates!$A$4:$A$15,0),ROUNDUP(MONTH(A276)/3,0))/100,0.03))</f>
        <v>0.07</v>
      </c>
      <c r="C276" s="25" t="n">
        <f aca="false">MAX(0,Penalty!$B$4-SUMIFS(Penalty!$C$10:$C$12,Penalty!$B$10:$B$12,"&lt;"&amp;A276))</f>
        <v>12000</v>
      </c>
      <c r="D276" s="25" t="n">
        <f aca="false">IF(A276&lt;=Penalty!$B$8,C276+F275+IF(A276&gt;Penalty!$B$19,Penalty!$I$5,0)+G275,0)</f>
        <v>0</v>
      </c>
      <c r="E276" s="26" t="n">
        <f aca="false">D276*B276/365</f>
        <v>0</v>
      </c>
      <c r="F276" s="25" t="n">
        <f aca="false">F275+E276*(1-IF(D276&gt;0,(IF(A276&gt;Penalty!$B$19,Penalty!$I$5,0)+G275)/D276,0))</f>
        <v>345.789278153858</v>
      </c>
      <c r="G276" s="25" t="n">
        <f aca="false">G275+E276*IF(D276&gt;0,(IF(A276&gt;Penalty!$B$19,Penalty!$I$5,0)+G275)/D276,0)</f>
        <v>46.6815525507708</v>
      </c>
    </row>
    <row r="277" customFormat="false" ht="15" hidden="false" customHeight="false" outlineLevel="0" collapsed="false">
      <c r="A277" s="23" t="n">
        <f aca="false">Penalty!$B$5+273</f>
        <v>46400</v>
      </c>
      <c r="B277" s="24" t="n">
        <f aca="false">IF(YEAR(A277)&gt;2026,Penalty!$B$16/100,IFERROR(INDEX(Rates!$B$4:$E$15,MATCH(YEAR(A277),Rates!$A$4:$A$15,0),ROUNDUP(MONTH(A277)/3,0))/100,0.03))</f>
        <v>0.07</v>
      </c>
      <c r="C277" s="25" t="n">
        <f aca="false">MAX(0,Penalty!$B$4-SUMIFS(Penalty!$C$10:$C$12,Penalty!$B$10:$B$12,"&lt;"&amp;A277))</f>
        <v>12000</v>
      </c>
      <c r="D277" s="25" t="n">
        <f aca="false">IF(A277&lt;=Penalty!$B$8,C277+F276+IF(A277&gt;Penalty!$B$19,Penalty!$I$5,0)+G276,0)</f>
        <v>0</v>
      </c>
      <c r="E277" s="26" t="n">
        <f aca="false">D277*B277/365</f>
        <v>0</v>
      </c>
      <c r="F277" s="25" t="n">
        <f aca="false">F276+E277*(1-IF(D277&gt;0,(IF(A277&gt;Penalty!$B$19,Penalty!$I$5,0)+G276)/D277,0))</f>
        <v>345.789278153858</v>
      </c>
      <c r="G277" s="25" t="n">
        <f aca="false">G276+E277*IF(D277&gt;0,(IF(A277&gt;Penalty!$B$19,Penalty!$I$5,0)+G276)/D277,0)</f>
        <v>46.6815525507708</v>
      </c>
    </row>
    <row r="278" customFormat="false" ht="15" hidden="false" customHeight="false" outlineLevel="0" collapsed="false">
      <c r="A278" s="23" t="n">
        <f aca="false">Penalty!$B$5+274</f>
        <v>46401</v>
      </c>
      <c r="B278" s="24" t="n">
        <f aca="false">IF(YEAR(A278)&gt;2026,Penalty!$B$16/100,IFERROR(INDEX(Rates!$B$4:$E$15,MATCH(YEAR(A278),Rates!$A$4:$A$15,0),ROUNDUP(MONTH(A278)/3,0))/100,0.03))</f>
        <v>0.07</v>
      </c>
      <c r="C278" s="25" t="n">
        <f aca="false">MAX(0,Penalty!$B$4-SUMIFS(Penalty!$C$10:$C$12,Penalty!$B$10:$B$12,"&lt;"&amp;A278))</f>
        <v>12000</v>
      </c>
      <c r="D278" s="25" t="n">
        <f aca="false">IF(A278&lt;=Penalty!$B$8,C278+F277+IF(A278&gt;Penalty!$B$19,Penalty!$I$5,0)+G277,0)</f>
        <v>0</v>
      </c>
      <c r="E278" s="26" t="n">
        <f aca="false">D278*B278/365</f>
        <v>0</v>
      </c>
      <c r="F278" s="25" t="n">
        <f aca="false">F277+E278*(1-IF(D278&gt;0,(IF(A278&gt;Penalty!$B$19,Penalty!$I$5,0)+G277)/D278,0))</f>
        <v>345.789278153858</v>
      </c>
      <c r="G278" s="25" t="n">
        <f aca="false">G277+E278*IF(D278&gt;0,(IF(A278&gt;Penalty!$B$19,Penalty!$I$5,0)+G277)/D278,0)</f>
        <v>46.6815525507708</v>
      </c>
    </row>
    <row r="279" customFormat="false" ht="15" hidden="false" customHeight="false" outlineLevel="0" collapsed="false">
      <c r="A279" s="23" t="n">
        <f aca="false">Penalty!$B$5+275</f>
        <v>46402</v>
      </c>
      <c r="B279" s="24" t="n">
        <f aca="false">IF(YEAR(A279)&gt;2026,Penalty!$B$16/100,IFERROR(INDEX(Rates!$B$4:$E$15,MATCH(YEAR(A279),Rates!$A$4:$A$15,0),ROUNDUP(MONTH(A279)/3,0))/100,0.03))</f>
        <v>0.07</v>
      </c>
      <c r="C279" s="25" t="n">
        <f aca="false">MAX(0,Penalty!$B$4-SUMIFS(Penalty!$C$10:$C$12,Penalty!$B$10:$B$12,"&lt;"&amp;A279))</f>
        <v>12000</v>
      </c>
      <c r="D279" s="25" t="n">
        <f aca="false">IF(A279&lt;=Penalty!$B$8,C279+F278+IF(A279&gt;Penalty!$B$19,Penalty!$I$5,0)+G278,0)</f>
        <v>0</v>
      </c>
      <c r="E279" s="26" t="n">
        <f aca="false">D279*B279/365</f>
        <v>0</v>
      </c>
      <c r="F279" s="25" t="n">
        <f aca="false">F278+E279*(1-IF(D279&gt;0,(IF(A279&gt;Penalty!$B$19,Penalty!$I$5,0)+G278)/D279,0))</f>
        <v>345.789278153858</v>
      </c>
      <c r="G279" s="25" t="n">
        <f aca="false">G278+E279*IF(D279&gt;0,(IF(A279&gt;Penalty!$B$19,Penalty!$I$5,0)+G278)/D279,0)</f>
        <v>46.6815525507708</v>
      </c>
    </row>
    <row r="280" customFormat="false" ht="15" hidden="false" customHeight="false" outlineLevel="0" collapsed="false">
      <c r="A280" s="23" t="n">
        <f aca="false">Penalty!$B$5+276</f>
        <v>46403</v>
      </c>
      <c r="B280" s="24" t="n">
        <f aca="false">IF(YEAR(A280)&gt;2026,Penalty!$B$16/100,IFERROR(INDEX(Rates!$B$4:$E$15,MATCH(YEAR(A280),Rates!$A$4:$A$15,0),ROUNDUP(MONTH(A280)/3,0))/100,0.03))</f>
        <v>0.07</v>
      </c>
      <c r="C280" s="25" t="n">
        <f aca="false">MAX(0,Penalty!$B$4-SUMIFS(Penalty!$C$10:$C$12,Penalty!$B$10:$B$12,"&lt;"&amp;A280))</f>
        <v>12000</v>
      </c>
      <c r="D280" s="25" t="n">
        <f aca="false">IF(A280&lt;=Penalty!$B$8,C280+F279+IF(A280&gt;Penalty!$B$19,Penalty!$I$5,0)+G279,0)</f>
        <v>0</v>
      </c>
      <c r="E280" s="26" t="n">
        <f aca="false">D280*B280/365</f>
        <v>0</v>
      </c>
      <c r="F280" s="25" t="n">
        <f aca="false">F279+E280*(1-IF(D280&gt;0,(IF(A280&gt;Penalty!$B$19,Penalty!$I$5,0)+G279)/D280,0))</f>
        <v>345.789278153858</v>
      </c>
      <c r="G280" s="25" t="n">
        <f aca="false">G279+E280*IF(D280&gt;0,(IF(A280&gt;Penalty!$B$19,Penalty!$I$5,0)+G279)/D280,0)</f>
        <v>46.6815525507708</v>
      </c>
    </row>
    <row r="281" customFormat="false" ht="15" hidden="false" customHeight="false" outlineLevel="0" collapsed="false">
      <c r="A281" s="23" t="n">
        <f aca="false">Penalty!$B$5+277</f>
        <v>46404</v>
      </c>
      <c r="B281" s="24" t="n">
        <f aca="false">IF(YEAR(A281)&gt;2026,Penalty!$B$16/100,IFERROR(INDEX(Rates!$B$4:$E$15,MATCH(YEAR(A281),Rates!$A$4:$A$15,0),ROUNDUP(MONTH(A281)/3,0))/100,0.03))</f>
        <v>0.07</v>
      </c>
      <c r="C281" s="25" t="n">
        <f aca="false">MAX(0,Penalty!$B$4-SUMIFS(Penalty!$C$10:$C$12,Penalty!$B$10:$B$12,"&lt;"&amp;A281))</f>
        <v>12000</v>
      </c>
      <c r="D281" s="25" t="n">
        <f aca="false">IF(A281&lt;=Penalty!$B$8,C281+F280+IF(A281&gt;Penalty!$B$19,Penalty!$I$5,0)+G280,0)</f>
        <v>0</v>
      </c>
      <c r="E281" s="26" t="n">
        <f aca="false">D281*B281/365</f>
        <v>0</v>
      </c>
      <c r="F281" s="25" t="n">
        <f aca="false">F280+E281*(1-IF(D281&gt;0,(IF(A281&gt;Penalty!$B$19,Penalty!$I$5,0)+G280)/D281,0))</f>
        <v>345.789278153858</v>
      </c>
      <c r="G281" s="25" t="n">
        <f aca="false">G280+E281*IF(D281&gt;0,(IF(A281&gt;Penalty!$B$19,Penalty!$I$5,0)+G280)/D281,0)</f>
        <v>46.6815525507708</v>
      </c>
    </row>
    <row r="282" customFormat="false" ht="15" hidden="false" customHeight="false" outlineLevel="0" collapsed="false">
      <c r="A282" s="23" t="n">
        <f aca="false">Penalty!$B$5+278</f>
        <v>46405</v>
      </c>
      <c r="B282" s="24" t="n">
        <f aca="false">IF(YEAR(A282)&gt;2026,Penalty!$B$16/100,IFERROR(INDEX(Rates!$B$4:$E$15,MATCH(YEAR(A282),Rates!$A$4:$A$15,0),ROUNDUP(MONTH(A282)/3,0))/100,0.03))</f>
        <v>0.07</v>
      </c>
      <c r="C282" s="25" t="n">
        <f aca="false">MAX(0,Penalty!$B$4-SUMIFS(Penalty!$C$10:$C$12,Penalty!$B$10:$B$12,"&lt;"&amp;A282))</f>
        <v>12000</v>
      </c>
      <c r="D282" s="25" t="n">
        <f aca="false">IF(A282&lt;=Penalty!$B$8,C282+F281+IF(A282&gt;Penalty!$B$19,Penalty!$I$5,0)+G281,0)</f>
        <v>0</v>
      </c>
      <c r="E282" s="26" t="n">
        <f aca="false">D282*B282/365</f>
        <v>0</v>
      </c>
      <c r="F282" s="25" t="n">
        <f aca="false">F281+E282*(1-IF(D282&gt;0,(IF(A282&gt;Penalty!$B$19,Penalty!$I$5,0)+G281)/D282,0))</f>
        <v>345.789278153858</v>
      </c>
      <c r="G282" s="25" t="n">
        <f aca="false">G281+E282*IF(D282&gt;0,(IF(A282&gt;Penalty!$B$19,Penalty!$I$5,0)+G281)/D282,0)</f>
        <v>46.6815525507708</v>
      </c>
    </row>
    <row r="283" customFormat="false" ht="15" hidden="false" customHeight="false" outlineLevel="0" collapsed="false">
      <c r="A283" s="23" t="n">
        <f aca="false">Penalty!$B$5+279</f>
        <v>46406</v>
      </c>
      <c r="B283" s="24" t="n">
        <f aca="false">IF(YEAR(A283)&gt;2026,Penalty!$B$16/100,IFERROR(INDEX(Rates!$B$4:$E$15,MATCH(YEAR(A283),Rates!$A$4:$A$15,0),ROUNDUP(MONTH(A283)/3,0))/100,0.03))</f>
        <v>0.07</v>
      </c>
      <c r="C283" s="25" t="n">
        <f aca="false">MAX(0,Penalty!$B$4-SUMIFS(Penalty!$C$10:$C$12,Penalty!$B$10:$B$12,"&lt;"&amp;A283))</f>
        <v>12000</v>
      </c>
      <c r="D283" s="25" t="n">
        <f aca="false">IF(A283&lt;=Penalty!$B$8,C283+F282+IF(A283&gt;Penalty!$B$19,Penalty!$I$5,0)+G282,0)</f>
        <v>0</v>
      </c>
      <c r="E283" s="26" t="n">
        <f aca="false">D283*B283/365</f>
        <v>0</v>
      </c>
      <c r="F283" s="25" t="n">
        <f aca="false">F282+E283*(1-IF(D283&gt;0,(IF(A283&gt;Penalty!$B$19,Penalty!$I$5,0)+G282)/D283,0))</f>
        <v>345.789278153858</v>
      </c>
      <c r="G283" s="25" t="n">
        <f aca="false">G282+E283*IF(D283&gt;0,(IF(A283&gt;Penalty!$B$19,Penalty!$I$5,0)+G282)/D283,0)</f>
        <v>46.6815525507708</v>
      </c>
    </row>
    <row r="284" customFormat="false" ht="15" hidden="false" customHeight="false" outlineLevel="0" collapsed="false">
      <c r="A284" s="23" t="n">
        <f aca="false">Penalty!$B$5+280</f>
        <v>46407</v>
      </c>
      <c r="B284" s="24" t="n">
        <f aca="false">IF(YEAR(A284)&gt;2026,Penalty!$B$16/100,IFERROR(INDEX(Rates!$B$4:$E$15,MATCH(YEAR(A284),Rates!$A$4:$A$15,0),ROUNDUP(MONTH(A284)/3,0))/100,0.03))</f>
        <v>0.07</v>
      </c>
      <c r="C284" s="25" t="n">
        <f aca="false">MAX(0,Penalty!$B$4-SUMIFS(Penalty!$C$10:$C$12,Penalty!$B$10:$B$12,"&lt;"&amp;A284))</f>
        <v>12000</v>
      </c>
      <c r="D284" s="25" t="n">
        <f aca="false">IF(A284&lt;=Penalty!$B$8,C284+F283+IF(A284&gt;Penalty!$B$19,Penalty!$I$5,0)+G283,0)</f>
        <v>0</v>
      </c>
      <c r="E284" s="26" t="n">
        <f aca="false">D284*B284/365</f>
        <v>0</v>
      </c>
      <c r="F284" s="25" t="n">
        <f aca="false">F283+E284*(1-IF(D284&gt;0,(IF(A284&gt;Penalty!$B$19,Penalty!$I$5,0)+G283)/D284,0))</f>
        <v>345.789278153858</v>
      </c>
      <c r="G284" s="25" t="n">
        <f aca="false">G283+E284*IF(D284&gt;0,(IF(A284&gt;Penalty!$B$19,Penalty!$I$5,0)+G283)/D284,0)</f>
        <v>46.6815525507708</v>
      </c>
    </row>
    <row r="285" customFormat="false" ht="15" hidden="false" customHeight="false" outlineLevel="0" collapsed="false">
      <c r="A285" s="23" t="n">
        <f aca="false">Penalty!$B$5+281</f>
        <v>46408</v>
      </c>
      <c r="B285" s="24" t="n">
        <f aca="false">IF(YEAR(A285)&gt;2026,Penalty!$B$16/100,IFERROR(INDEX(Rates!$B$4:$E$15,MATCH(YEAR(A285),Rates!$A$4:$A$15,0),ROUNDUP(MONTH(A285)/3,0))/100,0.03))</f>
        <v>0.07</v>
      </c>
      <c r="C285" s="25" t="n">
        <f aca="false">MAX(0,Penalty!$B$4-SUMIFS(Penalty!$C$10:$C$12,Penalty!$B$10:$B$12,"&lt;"&amp;A285))</f>
        <v>12000</v>
      </c>
      <c r="D285" s="25" t="n">
        <f aca="false">IF(A285&lt;=Penalty!$B$8,C285+F284+IF(A285&gt;Penalty!$B$19,Penalty!$I$5,0)+G284,0)</f>
        <v>0</v>
      </c>
      <c r="E285" s="26" t="n">
        <f aca="false">D285*B285/365</f>
        <v>0</v>
      </c>
      <c r="F285" s="25" t="n">
        <f aca="false">F284+E285*(1-IF(D285&gt;0,(IF(A285&gt;Penalty!$B$19,Penalty!$I$5,0)+G284)/D285,0))</f>
        <v>345.789278153858</v>
      </c>
      <c r="G285" s="25" t="n">
        <f aca="false">G284+E285*IF(D285&gt;0,(IF(A285&gt;Penalty!$B$19,Penalty!$I$5,0)+G284)/D285,0)</f>
        <v>46.6815525507708</v>
      </c>
    </row>
    <row r="286" customFormat="false" ht="15" hidden="false" customHeight="false" outlineLevel="0" collapsed="false">
      <c r="A286" s="23" t="n">
        <f aca="false">Penalty!$B$5+282</f>
        <v>46409</v>
      </c>
      <c r="B286" s="24" t="n">
        <f aca="false">IF(YEAR(A286)&gt;2026,Penalty!$B$16/100,IFERROR(INDEX(Rates!$B$4:$E$15,MATCH(YEAR(A286),Rates!$A$4:$A$15,0),ROUNDUP(MONTH(A286)/3,0))/100,0.03))</f>
        <v>0.07</v>
      </c>
      <c r="C286" s="25" t="n">
        <f aca="false">MAX(0,Penalty!$B$4-SUMIFS(Penalty!$C$10:$C$12,Penalty!$B$10:$B$12,"&lt;"&amp;A286))</f>
        <v>12000</v>
      </c>
      <c r="D286" s="25" t="n">
        <f aca="false">IF(A286&lt;=Penalty!$B$8,C286+F285+IF(A286&gt;Penalty!$B$19,Penalty!$I$5,0)+G285,0)</f>
        <v>0</v>
      </c>
      <c r="E286" s="26" t="n">
        <f aca="false">D286*B286/365</f>
        <v>0</v>
      </c>
      <c r="F286" s="25" t="n">
        <f aca="false">F285+E286*(1-IF(D286&gt;0,(IF(A286&gt;Penalty!$B$19,Penalty!$I$5,0)+G285)/D286,0))</f>
        <v>345.789278153858</v>
      </c>
      <c r="G286" s="25" t="n">
        <f aca="false">G285+E286*IF(D286&gt;0,(IF(A286&gt;Penalty!$B$19,Penalty!$I$5,0)+G285)/D286,0)</f>
        <v>46.6815525507708</v>
      </c>
    </row>
    <row r="287" customFormat="false" ht="15" hidden="false" customHeight="false" outlineLevel="0" collapsed="false">
      <c r="A287" s="23" t="n">
        <f aca="false">Penalty!$B$5+283</f>
        <v>46410</v>
      </c>
      <c r="B287" s="24" t="n">
        <f aca="false">IF(YEAR(A287)&gt;2026,Penalty!$B$16/100,IFERROR(INDEX(Rates!$B$4:$E$15,MATCH(YEAR(A287),Rates!$A$4:$A$15,0),ROUNDUP(MONTH(A287)/3,0))/100,0.03))</f>
        <v>0.07</v>
      </c>
      <c r="C287" s="25" t="n">
        <f aca="false">MAX(0,Penalty!$B$4-SUMIFS(Penalty!$C$10:$C$12,Penalty!$B$10:$B$12,"&lt;"&amp;A287))</f>
        <v>12000</v>
      </c>
      <c r="D287" s="25" t="n">
        <f aca="false">IF(A287&lt;=Penalty!$B$8,C287+F286+IF(A287&gt;Penalty!$B$19,Penalty!$I$5,0)+G286,0)</f>
        <v>0</v>
      </c>
      <c r="E287" s="26" t="n">
        <f aca="false">D287*B287/365</f>
        <v>0</v>
      </c>
      <c r="F287" s="25" t="n">
        <f aca="false">F286+E287*(1-IF(D287&gt;0,(IF(A287&gt;Penalty!$B$19,Penalty!$I$5,0)+G286)/D287,0))</f>
        <v>345.789278153858</v>
      </c>
      <c r="G287" s="25" t="n">
        <f aca="false">G286+E287*IF(D287&gt;0,(IF(A287&gt;Penalty!$B$19,Penalty!$I$5,0)+G286)/D287,0)</f>
        <v>46.6815525507708</v>
      </c>
    </row>
    <row r="288" customFormat="false" ht="15" hidden="false" customHeight="false" outlineLevel="0" collapsed="false">
      <c r="A288" s="23" t="n">
        <f aca="false">Penalty!$B$5+284</f>
        <v>46411</v>
      </c>
      <c r="B288" s="24" t="n">
        <f aca="false">IF(YEAR(A288)&gt;2026,Penalty!$B$16/100,IFERROR(INDEX(Rates!$B$4:$E$15,MATCH(YEAR(A288),Rates!$A$4:$A$15,0),ROUNDUP(MONTH(A288)/3,0))/100,0.03))</f>
        <v>0.07</v>
      </c>
      <c r="C288" s="25" t="n">
        <f aca="false">MAX(0,Penalty!$B$4-SUMIFS(Penalty!$C$10:$C$12,Penalty!$B$10:$B$12,"&lt;"&amp;A288))</f>
        <v>12000</v>
      </c>
      <c r="D288" s="25" t="n">
        <f aca="false">IF(A288&lt;=Penalty!$B$8,C288+F287+IF(A288&gt;Penalty!$B$19,Penalty!$I$5,0)+G287,0)</f>
        <v>0</v>
      </c>
      <c r="E288" s="26" t="n">
        <f aca="false">D288*B288/365</f>
        <v>0</v>
      </c>
      <c r="F288" s="25" t="n">
        <f aca="false">F287+E288*(1-IF(D288&gt;0,(IF(A288&gt;Penalty!$B$19,Penalty!$I$5,0)+G287)/D288,0))</f>
        <v>345.789278153858</v>
      </c>
      <c r="G288" s="25" t="n">
        <f aca="false">G287+E288*IF(D288&gt;0,(IF(A288&gt;Penalty!$B$19,Penalty!$I$5,0)+G287)/D288,0)</f>
        <v>46.6815525507708</v>
      </c>
    </row>
    <row r="289" customFormat="false" ht="15" hidden="false" customHeight="false" outlineLevel="0" collapsed="false">
      <c r="A289" s="23" t="n">
        <f aca="false">Penalty!$B$5+285</f>
        <v>46412</v>
      </c>
      <c r="B289" s="24" t="n">
        <f aca="false">IF(YEAR(A289)&gt;2026,Penalty!$B$16/100,IFERROR(INDEX(Rates!$B$4:$E$15,MATCH(YEAR(A289),Rates!$A$4:$A$15,0),ROUNDUP(MONTH(A289)/3,0))/100,0.03))</f>
        <v>0.07</v>
      </c>
      <c r="C289" s="25" t="n">
        <f aca="false">MAX(0,Penalty!$B$4-SUMIFS(Penalty!$C$10:$C$12,Penalty!$B$10:$B$12,"&lt;"&amp;A289))</f>
        <v>12000</v>
      </c>
      <c r="D289" s="25" t="n">
        <f aca="false">IF(A289&lt;=Penalty!$B$8,C289+F288+IF(A289&gt;Penalty!$B$19,Penalty!$I$5,0)+G288,0)</f>
        <v>0</v>
      </c>
      <c r="E289" s="26" t="n">
        <f aca="false">D289*B289/365</f>
        <v>0</v>
      </c>
      <c r="F289" s="25" t="n">
        <f aca="false">F288+E289*(1-IF(D289&gt;0,(IF(A289&gt;Penalty!$B$19,Penalty!$I$5,0)+G288)/D289,0))</f>
        <v>345.789278153858</v>
      </c>
      <c r="G289" s="25" t="n">
        <f aca="false">G288+E289*IF(D289&gt;0,(IF(A289&gt;Penalty!$B$19,Penalty!$I$5,0)+G288)/D289,0)</f>
        <v>46.6815525507708</v>
      </c>
    </row>
    <row r="290" customFormat="false" ht="15" hidden="false" customHeight="false" outlineLevel="0" collapsed="false">
      <c r="A290" s="23" t="n">
        <f aca="false">Penalty!$B$5+286</f>
        <v>46413</v>
      </c>
      <c r="B290" s="24" t="n">
        <f aca="false">IF(YEAR(A290)&gt;2026,Penalty!$B$16/100,IFERROR(INDEX(Rates!$B$4:$E$15,MATCH(YEAR(A290),Rates!$A$4:$A$15,0),ROUNDUP(MONTH(A290)/3,0))/100,0.03))</f>
        <v>0.07</v>
      </c>
      <c r="C290" s="25" t="n">
        <f aca="false">MAX(0,Penalty!$B$4-SUMIFS(Penalty!$C$10:$C$12,Penalty!$B$10:$B$12,"&lt;"&amp;A290))</f>
        <v>12000</v>
      </c>
      <c r="D290" s="25" t="n">
        <f aca="false">IF(A290&lt;=Penalty!$B$8,C290+F289+IF(A290&gt;Penalty!$B$19,Penalty!$I$5,0)+G289,0)</f>
        <v>0</v>
      </c>
      <c r="E290" s="26" t="n">
        <f aca="false">D290*B290/365</f>
        <v>0</v>
      </c>
      <c r="F290" s="25" t="n">
        <f aca="false">F289+E290*(1-IF(D290&gt;0,(IF(A290&gt;Penalty!$B$19,Penalty!$I$5,0)+G289)/D290,0))</f>
        <v>345.789278153858</v>
      </c>
      <c r="G290" s="25" t="n">
        <f aca="false">G289+E290*IF(D290&gt;0,(IF(A290&gt;Penalty!$B$19,Penalty!$I$5,0)+G289)/D290,0)</f>
        <v>46.6815525507708</v>
      </c>
    </row>
    <row r="291" customFormat="false" ht="15" hidden="false" customHeight="false" outlineLevel="0" collapsed="false">
      <c r="A291" s="23" t="n">
        <f aca="false">Penalty!$B$5+287</f>
        <v>46414</v>
      </c>
      <c r="B291" s="24" t="n">
        <f aca="false">IF(YEAR(A291)&gt;2026,Penalty!$B$16/100,IFERROR(INDEX(Rates!$B$4:$E$15,MATCH(YEAR(A291),Rates!$A$4:$A$15,0),ROUNDUP(MONTH(A291)/3,0))/100,0.03))</f>
        <v>0.07</v>
      </c>
      <c r="C291" s="25" t="n">
        <f aca="false">MAX(0,Penalty!$B$4-SUMIFS(Penalty!$C$10:$C$12,Penalty!$B$10:$B$12,"&lt;"&amp;A291))</f>
        <v>12000</v>
      </c>
      <c r="D291" s="25" t="n">
        <f aca="false">IF(A291&lt;=Penalty!$B$8,C291+F290+IF(A291&gt;Penalty!$B$19,Penalty!$I$5,0)+G290,0)</f>
        <v>0</v>
      </c>
      <c r="E291" s="26" t="n">
        <f aca="false">D291*B291/365</f>
        <v>0</v>
      </c>
      <c r="F291" s="25" t="n">
        <f aca="false">F290+E291*(1-IF(D291&gt;0,(IF(A291&gt;Penalty!$B$19,Penalty!$I$5,0)+G290)/D291,0))</f>
        <v>345.789278153858</v>
      </c>
      <c r="G291" s="25" t="n">
        <f aca="false">G290+E291*IF(D291&gt;0,(IF(A291&gt;Penalty!$B$19,Penalty!$I$5,0)+G290)/D291,0)</f>
        <v>46.6815525507708</v>
      </c>
    </row>
    <row r="292" customFormat="false" ht="15" hidden="false" customHeight="false" outlineLevel="0" collapsed="false">
      <c r="A292" s="23" t="n">
        <f aca="false">Penalty!$B$5+288</f>
        <v>46415</v>
      </c>
      <c r="B292" s="24" t="n">
        <f aca="false">IF(YEAR(A292)&gt;2026,Penalty!$B$16/100,IFERROR(INDEX(Rates!$B$4:$E$15,MATCH(YEAR(A292),Rates!$A$4:$A$15,0),ROUNDUP(MONTH(A292)/3,0))/100,0.03))</f>
        <v>0.07</v>
      </c>
      <c r="C292" s="25" t="n">
        <f aca="false">MAX(0,Penalty!$B$4-SUMIFS(Penalty!$C$10:$C$12,Penalty!$B$10:$B$12,"&lt;"&amp;A292))</f>
        <v>12000</v>
      </c>
      <c r="D292" s="25" t="n">
        <f aca="false">IF(A292&lt;=Penalty!$B$8,C292+F291+IF(A292&gt;Penalty!$B$19,Penalty!$I$5,0)+G291,0)</f>
        <v>0</v>
      </c>
      <c r="E292" s="26" t="n">
        <f aca="false">D292*B292/365</f>
        <v>0</v>
      </c>
      <c r="F292" s="25" t="n">
        <f aca="false">F291+E292*(1-IF(D292&gt;0,(IF(A292&gt;Penalty!$B$19,Penalty!$I$5,0)+G291)/D292,0))</f>
        <v>345.789278153858</v>
      </c>
      <c r="G292" s="25" t="n">
        <f aca="false">G291+E292*IF(D292&gt;0,(IF(A292&gt;Penalty!$B$19,Penalty!$I$5,0)+G291)/D292,0)</f>
        <v>46.6815525507708</v>
      </c>
    </row>
    <row r="293" customFormat="false" ht="15" hidden="false" customHeight="false" outlineLevel="0" collapsed="false">
      <c r="A293" s="23" t="n">
        <f aca="false">Penalty!$B$5+289</f>
        <v>46416</v>
      </c>
      <c r="B293" s="24" t="n">
        <f aca="false">IF(YEAR(A293)&gt;2026,Penalty!$B$16/100,IFERROR(INDEX(Rates!$B$4:$E$15,MATCH(YEAR(A293),Rates!$A$4:$A$15,0),ROUNDUP(MONTH(A293)/3,0))/100,0.03))</f>
        <v>0.07</v>
      </c>
      <c r="C293" s="25" t="n">
        <f aca="false">MAX(0,Penalty!$B$4-SUMIFS(Penalty!$C$10:$C$12,Penalty!$B$10:$B$12,"&lt;"&amp;A293))</f>
        <v>12000</v>
      </c>
      <c r="D293" s="25" t="n">
        <f aca="false">IF(A293&lt;=Penalty!$B$8,C293+F292+IF(A293&gt;Penalty!$B$19,Penalty!$I$5,0)+G292,0)</f>
        <v>0</v>
      </c>
      <c r="E293" s="26" t="n">
        <f aca="false">D293*B293/365</f>
        <v>0</v>
      </c>
      <c r="F293" s="25" t="n">
        <f aca="false">F292+E293*(1-IF(D293&gt;0,(IF(A293&gt;Penalty!$B$19,Penalty!$I$5,0)+G292)/D293,0))</f>
        <v>345.789278153858</v>
      </c>
      <c r="G293" s="25" t="n">
        <f aca="false">G292+E293*IF(D293&gt;0,(IF(A293&gt;Penalty!$B$19,Penalty!$I$5,0)+G292)/D293,0)</f>
        <v>46.6815525507708</v>
      </c>
    </row>
    <row r="294" customFormat="false" ht="15" hidden="false" customHeight="false" outlineLevel="0" collapsed="false">
      <c r="A294" s="23" t="n">
        <f aca="false">Penalty!$B$5+290</f>
        <v>46417</v>
      </c>
      <c r="B294" s="24" t="n">
        <f aca="false">IF(YEAR(A294)&gt;2026,Penalty!$B$16/100,IFERROR(INDEX(Rates!$B$4:$E$15,MATCH(YEAR(A294),Rates!$A$4:$A$15,0),ROUNDUP(MONTH(A294)/3,0))/100,0.03))</f>
        <v>0.07</v>
      </c>
      <c r="C294" s="25" t="n">
        <f aca="false">MAX(0,Penalty!$B$4-SUMIFS(Penalty!$C$10:$C$12,Penalty!$B$10:$B$12,"&lt;"&amp;A294))</f>
        <v>12000</v>
      </c>
      <c r="D294" s="25" t="n">
        <f aca="false">IF(A294&lt;=Penalty!$B$8,C294+F293+IF(A294&gt;Penalty!$B$19,Penalty!$I$5,0)+G293,0)</f>
        <v>0</v>
      </c>
      <c r="E294" s="26" t="n">
        <f aca="false">D294*B294/365</f>
        <v>0</v>
      </c>
      <c r="F294" s="25" t="n">
        <f aca="false">F293+E294*(1-IF(D294&gt;0,(IF(A294&gt;Penalty!$B$19,Penalty!$I$5,0)+G293)/D294,0))</f>
        <v>345.789278153858</v>
      </c>
      <c r="G294" s="25" t="n">
        <f aca="false">G293+E294*IF(D294&gt;0,(IF(A294&gt;Penalty!$B$19,Penalty!$I$5,0)+G293)/D294,0)</f>
        <v>46.6815525507708</v>
      </c>
    </row>
    <row r="295" customFormat="false" ht="15" hidden="false" customHeight="false" outlineLevel="0" collapsed="false">
      <c r="A295" s="23" t="n">
        <f aca="false">Penalty!$B$5+291</f>
        <v>46418</v>
      </c>
      <c r="B295" s="24" t="n">
        <f aca="false">IF(YEAR(A295)&gt;2026,Penalty!$B$16/100,IFERROR(INDEX(Rates!$B$4:$E$15,MATCH(YEAR(A295),Rates!$A$4:$A$15,0),ROUNDUP(MONTH(A295)/3,0))/100,0.03))</f>
        <v>0.07</v>
      </c>
      <c r="C295" s="25" t="n">
        <f aca="false">MAX(0,Penalty!$B$4-SUMIFS(Penalty!$C$10:$C$12,Penalty!$B$10:$B$12,"&lt;"&amp;A295))</f>
        <v>12000</v>
      </c>
      <c r="D295" s="25" t="n">
        <f aca="false">IF(A295&lt;=Penalty!$B$8,C295+F294+IF(A295&gt;Penalty!$B$19,Penalty!$I$5,0)+G294,0)</f>
        <v>0</v>
      </c>
      <c r="E295" s="26" t="n">
        <f aca="false">D295*B295/365</f>
        <v>0</v>
      </c>
      <c r="F295" s="25" t="n">
        <f aca="false">F294+E295*(1-IF(D295&gt;0,(IF(A295&gt;Penalty!$B$19,Penalty!$I$5,0)+G294)/D295,0))</f>
        <v>345.789278153858</v>
      </c>
      <c r="G295" s="25" t="n">
        <f aca="false">G294+E295*IF(D295&gt;0,(IF(A295&gt;Penalty!$B$19,Penalty!$I$5,0)+G294)/D295,0)</f>
        <v>46.6815525507708</v>
      </c>
    </row>
    <row r="296" customFormat="false" ht="15" hidden="false" customHeight="false" outlineLevel="0" collapsed="false">
      <c r="A296" s="23" t="n">
        <f aca="false">Penalty!$B$5+292</f>
        <v>46419</v>
      </c>
      <c r="B296" s="24" t="n">
        <f aca="false">IF(YEAR(A296)&gt;2026,Penalty!$B$16/100,IFERROR(INDEX(Rates!$B$4:$E$15,MATCH(YEAR(A296),Rates!$A$4:$A$15,0),ROUNDUP(MONTH(A296)/3,0))/100,0.03))</f>
        <v>0.07</v>
      </c>
      <c r="C296" s="25" t="n">
        <f aca="false">MAX(0,Penalty!$B$4-SUMIFS(Penalty!$C$10:$C$12,Penalty!$B$10:$B$12,"&lt;"&amp;A296))</f>
        <v>12000</v>
      </c>
      <c r="D296" s="25" t="n">
        <f aca="false">IF(A296&lt;=Penalty!$B$8,C296+F295+IF(A296&gt;Penalty!$B$19,Penalty!$I$5,0)+G295,0)</f>
        <v>0</v>
      </c>
      <c r="E296" s="26" t="n">
        <f aca="false">D296*B296/365</f>
        <v>0</v>
      </c>
      <c r="F296" s="25" t="n">
        <f aca="false">F295+E296*(1-IF(D296&gt;0,(IF(A296&gt;Penalty!$B$19,Penalty!$I$5,0)+G295)/D296,0))</f>
        <v>345.789278153858</v>
      </c>
      <c r="G296" s="25" t="n">
        <f aca="false">G295+E296*IF(D296&gt;0,(IF(A296&gt;Penalty!$B$19,Penalty!$I$5,0)+G295)/D296,0)</f>
        <v>46.6815525507708</v>
      </c>
    </row>
    <row r="297" customFormat="false" ht="15" hidden="false" customHeight="false" outlineLevel="0" collapsed="false">
      <c r="A297" s="23" t="n">
        <f aca="false">Penalty!$B$5+293</f>
        <v>46420</v>
      </c>
      <c r="B297" s="24" t="n">
        <f aca="false">IF(YEAR(A297)&gt;2026,Penalty!$B$16/100,IFERROR(INDEX(Rates!$B$4:$E$15,MATCH(YEAR(A297),Rates!$A$4:$A$15,0),ROUNDUP(MONTH(A297)/3,0))/100,0.03))</f>
        <v>0.07</v>
      </c>
      <c r="C297" s="25" t="n">
        <f aca="false">MAX(0,Penalty!$B$4-SUMIFS(Penalty!$C$10:$C$12,Penalty!$B$10:$B$12,"&lt;"&amp;A297))</f>
        <v>12000</v>
      </c>
      <c r="D297" s="25" t="n">
        <f aca="false">IF(A297&lt;=Penalty!$B$8,C297+F296+IF(A297&gt;Penalty!$B$19,Penalty!$I$5,0)+G296,0)</f>
        <v>0</v>
      </c>
      <c r="E297" s="26" t="n">
        <f aca="false">D297*B297/365</f>
        <v>0</v>
      </c>
      <c r="F297" s="25" t="n">
        <f aca="false">F296+E297*(1-IF(D297&gt;0,(IF(A297&gt;Penalty!$B$19,Penalty!$I$5,0)+G296)/D297,0))</f>
        <v>345.789278153858</v>
      </c>
      <c r="G297" s="25" t="n">
        <f aca="false">G296+E297*IF(D297&gt;0,(IF(A297&gt;Penalty!$B$19,Penalty!$I$5,0)+G296)/D297,0)</f>
        <v>46.6815525507708</v>
      </c>
    </row>
    <row r="298" customFormat="false" ht="15" hidden="false" customHeight="false" outlineLevel="0" collapsed="false">
      <c r="A298" s="23" t="n">
        <f aca="false">Penalty!$B$5+294</f>
        <v>46421</v>
      </c>
      <c r="B298" s="24" t="n">
        <f aca="false">IF(YEAR(A298)&gt;2026,Penalty!$B$16/100,IFERROR(INDEX(Rates!$B$4:$E$15,MATCH(YEAR(A298),Rates!$A$4:$A$15,0),ROUNDUP(MONTH(A298)/3,0))/100,0.03))</f>
        <v>0.07</v>
      </c>
      <c r="C298" s="25" t="n">
        <f aca="false">MAX(0,Penalty!$B$4-SUMIFS(Penalty!$C$10:$C$12,Penalty!$B$10:$B$12,"&lt;"&amp;A298))</f>
        <v>12000</v>
      </c>
      <c r="D298" s="25" t="n">
        <f aca="false">IF(A298&lt;=Penalty!$B$8,C298+F297+IF(A298&gt;Penalty!$B$19,Penalty!$I$5,0)+G297,0)</f>
        <v>0</v>
      </c>
      <c r="E298" s="26" t="n">
        <f aca="false">D298*B298/365</f>
        <v>0</v>
      </c>
      <c r="F298" s="25" t="n">
        <f aca="false">F297+E298*(1-IF(D298&gt;0,(IF(A298&gt;Penalty!$B$19,Penalty!$I$5,0)+G297)/D298,0))</f>
        <v>345.789278153858</v>
      </c>
      <c r="G298" s="25" t="n">
        <f aca="false">G297+E298*IF(D298&gt;0,(IF(A298&gt;Penalty!$B$19,Penalty!$I$5,0)+G297)/D298,0)</f>
        <v>46.6815525507708</v>
      </c>
    </row>
    <row r="299" customFormat="false" ht="15" hidden="false" customHeight="false" outlineLevel="0" collapsed="false">
      <c r="A299" s="23" t="n">
        <f aca="false">Penalty!$B$5+295</f>
        <v>46422</v>
      </c>
      <c r="B299" s="24" t="n">
        <f aca="false">IF(YEAR(A299)&gt;2026,Penalty!$B$16/100,IFERROR(INDEX(Rates!$B$4:$E$15,MATCH(YEAR(A299),Rates!$A$4:$A$15,0),ROUNDUP(MONTH(A299)/3,0))/100,0.03))</f>
        <v>0.07</v>
      </c>
      <c r="C299" s="25" t="n">
        <f aca="false">MAX(0,Penalty!$B$4-SUMIFS(Penalty!$C$10:$C$12,Penalty!$B$10:$B$12,"&lt;"&amp;A299))</f>
        <v>12000</v>
      </c>
      <c r="D299" s="25" t="n">
        <f aca="false">IF(A299&lt;=Penalty!$B$8,C299+F298+IF(A299&gt;Penalty!$B$19,Penalty!$I$5,0)+G298,0)</f>
        <v>0</v>
      </c>
      <c r="E299" s="26" t="n">
        <f aca="false">D299*B299/365</f>
        <v>0</v>
      </c>
      <c r="F299" s="25" t="n">
        <f aca="false">F298+E299*(1-IF(D299&gt;0,(IF(A299&gt;Penalty!$B$19,Penalty!$I$5,0)+G298)/D299,0))</f>
        <v>345.789278153858</v>
      </c>
      <c r="G299" s="25" t="n">
        <f aca="false">G298+E299*IF(D299&gt;0,(IF(A299&gt;Penalty!$B$19,Penalty!$I$5,0)+G298)/D299,0)</f>
        <v>46.6815525507708</v>
      </c>
    </row>
    <row r="300" customFormat="false" ht="15" hidden="false" customHeight="false" outlineLevel="0" collapsed="false">
      <c r="A300" s="23" t="n">
        <f aca="false">Penalty!$B$5+296</f>
        <v>46423</v>
      </c>
      <c r="B300" s="24" t="n">
        <f aca="false">IF(YEAR(A300)&gt;2026,Penalty!$B$16/100,IFERROR(INDEX(Rates!$B$4:$E$15,MATCH(YEAR(A300),Rates!$A$4:$A$15,0),ROUNDUP(MONTH(A300)/3,0))/100,0.03))</f>
        <v>0.07</v>
      </c>
      <c r="C300" s="25" t="n">
        <f aca="false">MAX(0,Penalty!$B$4-SUMIFS(Penalty!$C$10:$C$12,Penalty!$B$10:$B$12,"&lt;"&amp;A300))</f>
        <v>12000</v>
      </c>
      <c r="D300" s="25" t="n">
        <f aca="false">IF(A300&lt;=Penalty!$B$8,C300+F299+IF(A300&gt;Penalty!$B$19,Penalty!$I$5,0)+G299,0)</f>
        <v>0</v>
      </c>
      <c r="E300" s="26" t="n">
        <f aca="false">D300*B300/365</f>
        <v>0</v>
      </c>
      <c r="F300" s="25" t="n">
        <f aca="false">F299+E300*(1-IF(D300&gt;0,(IF(A300&gt;Penalty!$B$19,Penalty!$I$5,0)+G299)/D300,0))</f>
        <v>345.789278153858</v>
      </c>
      <c r="G300" s="25" t="n">
        <f aca="false">G299+E300*IF(D300&gt;0,(IF(A300&gt;Penalty!$B$19,Penalty!$I$5,0)+G299)/D300,0)</f>
        <v>46.6815525507708</v>
      </c>
    </row>
    <row r="301" customFormat="false" ht="15" hidden="false" customHeight="false" outlineLevel="0" collapsed="false">
      <c r="A301" s="23" t="n">
        <f aca="false">Penalty!$B$5+297</f>
        <v>46424</v>
      </c>
      <c r="B301" s="24" t="n">
        <f aca="false">IF(YEAR(A301)&gt;2026,Penalty!$B$16/100,IFERROR(INDEX(Rates!$B$4:$E$15,MATCH(YEAR(A301),Rates!$A$4:$A$15,0),ROUNDUP(MONTH(A301)/3,0))/100,0.03))</f>
        <v>0.07</v>
      </c>
      <c r="C301" s="25" t="n">
        <f aca="false">MAX(0,Penalty!$B$4-SUMIFS(Penalty!$C$10:$C$12,Penalty!$B$10:$B$12,"&lt;"&amp;A301))</f>
        <v>12000</v>
      </c>
      <c r="D301" s="25" t="n">
        <f aca="false">IF(A301&lt;=Penalty!$B$8,C301+F300+IF(A301&gt;Penalty!$B$19,Penalty!$I$5,0)+G300,0)</f>
        <v>0</v>
      </c>
      <c r="E301" s="26" t="n">
        <f aca="false">D301*B301/365</f>
        <v>0</v>
      </c>
      <c r="F301" s="25" t="n">
        <f aca="false">F300+E301*(1-IF(D301&gt;0,(IF(A301&gt;Penalty!$B$19,Penalty!$I$5,0)+G300)/D301,0))</f>
        <v>345.789278153858</v>
      </c>
      <c r="G301" s="25" t="n">
        <f aca="false">G300+E301*IF(D301&gt;0,(IF(A301&gt;Penalty!$B$19,Penalty!$I$5,0)+G300)/D301,0)</f>
        <v>46.6815525507708</v>
      </c>
    </row>
    <row r="302" customFormat="false" ht="15" hidden="false" customHeight="false" outlineLevel="0" collapsed="false">
      <c r="A302" s="23" t="n">
        <f aca="false">Penalty!$B$5+298</f>
        <v>46425</v>
      </c>
      <c r="B302" s="24" t="n">
        <f aca="false">IF(YEAR(A302)&gt;2026,Penalty!$B$16/100,IFERROR(INDEX(Rates!$B$4:$E$15,MATCH(YEAR(A302),Rates!$A$4:$A$15,0),ROUNDUP(MONTH(A302)/3,0))/100,0.03))</f>
        <v>0.07</v>
      </c>
      <c r="C302" s="25" t="n">
        <f aca="false">MAX(0,Penalty!$B$4-SUMIFS(Penalty!$C$10:$C$12,Penalty!$B$10:$B$12,"&lt;"&amp;A302))</f>
        <v>12000</v>
      </c>
      <c r="D302" s="25" t="n">
        <f aca="false">IF(A302&lt;=Penalty!$B$8,C302+F301+IF(A302&gt;Penalty!$B$19,Penalty!$I$5,0)+G301,0)</f>
        <v>0</v>
      </c>
      <c r="E302" s="26" t="n">
        <f aca="false">D302*B302/365</f>
        <v>0</v>
      </c>
      <c r="F302" s="25" t="n">
        <f aca="false">F301+E302*(1-IF(D302&gt;0,(IF(A302&gt;Penalty!$B$19,Penalty!$I$5,0)+G301)/D302,0))</f>
        <v>345.789278153858</v>
      </c>
      <c r="G302" s="25" t="n">
        <f aca="false">G301+E302*IF(D302&gt;0,(IF(A302&gt;Penalty!$B$19,Penalty!$I$5,0)+G301)/D302,0)</f>
        <v>46.6815525507708</v>
      </c>
    </row>
    <row r="303" customFormat="false" ht="15" hidden="false" customHeight="false" outlineLevel="0" collapsed="false">
      <c r="A303" s="23" t="n">
        <f aca="false">Penalty!$B$5+299</f>
        <v>46426</v>
      </c>
      <c r="B303" s="24" t="n">
        <f aca="false">IF(YEAR(A303)&gt;2026,Penalty!$B$16/100,IFERROR(INDEX(Rates!$B$4:$E$15,MATCH(YEAR(A303),Rates!$A$4:$A$15,0),ROUNDUP(MONTH(A303)/3,0))/100,0.03))</f>
        <v>0.07</v>
      </c>
      <c r="C303" s="25" t="n">
        <f aca="false">MAX(0,Penalty!$B$4-SUMIFS(Penalty!$C$10:$C$12,Penalty!$B$10:$B$12,"&lt;"&amp;A303))</f>
        <v>12000</v>
      </c>
      <c r="D303" s="25" t="n">
        <f aca="false">IF(A303&lt;=Penalty!$B$8,C303+F302+IF(A303&gt;Penalty!$B$19,Penalty!$I$5,0)+G302,0)</f>
        <v>0</v>
      </c>
      <c r="E303" s="26" t="n">
        <f aca="false">D303*B303/365</f>
        <v>0</v>
      </c>
      <c r="F303" s="25" t="n">
        <f aca="false">F302+E303*(1-IF(D303&gt;0,(IF(A303&gt;Penalty!$B$19,Penalty!$I$5,0)+G302)/D303,0))</f>
        <v>345.789278153858</v>
      </c>
      <c r="G303" s="25" t="n">
        <f aca="false">G302+E303*IF(D303&gt;0,(IF(A303&gt;Penalty!$B$19,Penalty!$I$5,0)+G302)/D303,0)</f>
        <v>46.6815525507708</v>
      </c>
    </row>
    <row r="304" customFormat="false" ht="15" hidden="false" customHeight="false" outlineLevel="0" collapsed="false">
      <c r="A304" s="23" t="n">
        <f aca="false">Penalty!$B$5+300</f>
        <v>46427</v>
      </c>
      <c r="B304" s="24" t="n">
        <f aca="false">IF(YEAR(A304)&gt;2026,Penalty!$B$16/100,IFERROR(INDEX(Rates!$B$4:$E$15,MATCH(YEAR(A304),Rates!$A$4:$A$15,0),ROUNDUP(MONTH(A304)/3,0))/100,0.03))</f>
        <v>0.07</v>
      </c>
      <c r="C304" s="25" t="n">
        <f aca="false">MAX(0,Penalty!$B$4-SUMIFS(Penalty!$C$10:$C$12,Penalty!$B$10:$B$12,"&lt;"&amp;A304))</f>
        <v>12000</v>
      </c>
      <c r="D304" s="25" t="n">
        <f aca="false">IF(A304&lt;=Penalty!$B$8,C304+F303+IF(A304&gt;Penalty!$B$19,Penalty!$I$5,0)+G303,0)</f>
        <v>0</v>
      </c>
      <c r="E304" s="26" t="n">
        <f aca="false">D304*B304/365</f>
        <v>0</v>
      </c>
      <c r="F304" s="25" t="n">
        <f aca="false">F303+E304*(1-IF(D304&gt;0,(IF(A304&gt;Penalty!$B$19,Penalty!$I$5,0)+G303)/D304,0))</f>
        <v>345.789278153858</v>
      </c>
      <c r="G304" s="25" t="n">
        <f aca="false">G303+E304*IF(D304&gt;0,(IF(A304&gt;Penalty!$B$19,Penalty!$I$5,0)+G303)/D304,0)</f>
        <v>46.6815525507708</v>
      </c>
    </row>
    <row r="305" customFormat="false" ht="15" hidden="false" customHeight="false" outlineLevel="0" collapsed="false">
      <c r="A305" s="23" t="n">
        <f aca="false">Penalty!$B$5+301</f>
        <v>46428</v>
      </c>
      <c r="B305" s="24" t="n">
        <f aca="false">IF(YEAR(A305)&gt;2026,Penalty!$B$16/100,IFERROR(INDEX(Rates!$B$4:$E$15,MATCH(YEAR(A305),Rates!$A$4:$A$15,0),ROUNDUP(MONTH(A305)/3,0))/100,0.03))</f>
        <v>0.07</v>
      </c>
      <c r="C305" s="25" t="n">
        <f aca="false">MAX(0,Penalty!$B$4-SUMIFS(Penalty!$C$10:$C$12,Penalty!$B$10:$B$12,"&lt;"&amp;A305))</f>
        <v>12000</v>
      </c>
      <c r="D305" s="25" t="n">
        <f aca="false">IF(A305&lt;=Penalty!$B$8,C305+F304+IF(A305&gt;Penalty!$B$19,Penalty!$I$5,0)+G304,0)</f>
        <v>0</v>
      </c>
      <c r="E305" s="26" t="n">
        <f aca="false">D305*B305/365</f>
        <v>0</v>
      </c>
      <c r="F305" s="25" t="n">
        <f aca="false">F304+E305*(1-IF(D305&gt;0,(IF(A305&gt;Penalty!$B$19,Penalty!$I$5,0)+G304)/D305,0))</f>
        <v>345.789278153858</v>
      </c>
      <c r="G305" s="25" t="n">
        <f aca="false">G304+E305*IF(D305&gt;0,(IF(A305&gt;Penalty!$B$19,Penalty!$I$5,0)+G304)/D305,0)</f>
        <v>46.6815525507708</v>
      </c>
    </row>
    <row r="306" customFormat="false" ht="15" hidden="false" customHeight="false" outlineLevel="0" collapsed="false">
      <c r="A306" s="23" t="n">
        <f aca="false">Penalty!$B$5+302</f>
        <v>46429</v>
      </c>
      <c r="B306" s="24" t="n">
        <f aca="false">IF(YEAR(A306)&gt;2026,Penalty!$B$16/100,IFERROR(INDEX(Rates!$B$4:$E$15,MATCH(YEAR(A306),Rates!$A$4:$A$15,0),ROUNDUP(MONTH(A306)/3,0))/100,0.03))</f>
        <v>0.07</v>
      </c>
      <c r="C306" s="25" t="n">
        <f aca="false">MAX(0,Penalty!$B$4-SUMIFS(Penalty!$C$10:$C$12,Penalty!$B$10:$B$12,"&lt;"&amp;A306))</f>
        <v>12000</v>
      </c>
      <c r="D306" s="25" t="n">
        <f aca="false">IF(A306&lt;=Penalty!$B$8,C306+F305+IF(A306&gt;Penalty!$B$19,Penalty!$I$5,0)+G305,0)</f>
        <v>0</v>
      </c>
      <c r="E306" s="26" t="n">
        <f aca="false">D306*B306/365</f>
        <v>0</v>
      </c>
      <c r="F306" s="25" t="n">
        <f aca="false">F305+E306*(1-IF(D306&gt;0,(IF(A306&gt;Penalty!$B$19,Penalty!$I$5,0)+G305)/D306,0))</f>
        <v>345.789278153858</v>
      </c>
      <c r="G306" s="25" t="n">
        <f aca="false">G305+E306*IF(D306&gt;0,(IF(A306&gt;Penalty!$B$19,Penalty!$I$5,0)+G305)/D306,0)</f>
        <v>46.6815525507708</v>
      </c>
    </row>
    <row r="307" customFormat="false" ht="15" hidden="false" customHeight="false" outlineLevel="0" collapsed="false">
      <c r="A307" s="23" t="n">
        <f aca="false">Penalty!$B$5+303</f>
        <v>46430</v>
      </c>
      <c r="B307" s="24" t="n">
        <f aca="false">IF(YEAR(A307)&gt;2026,Penalty!$B$16/100,IFERROR(INDEX(Rates!$B$4:$E$15,MATCH(YEAR(A307),Rates!$A$4:$A$15,0),ROUNDUP(MONTH(A307)/3,0))/100,0.03))</f>
        <v>0.07</v>
      </c>
      <c r="C307" s="25" t="n">
        <f aca="false">MAX(0,Penalty!$B$4-SUMIFS(Penalty!$C$10:$C$12,Penalty!$B$10:$B$12,"&lt;"&amp;A307))</f>
        <v>12000</v>
      </c>
      <c r="D307" s="25" t="n">
        <f aca="false">IF(A307&lt;=Penalty!$B$8,C307+F306+IF(A307&gt;Penalty!$B$19,Penalty!$I$5,0)+G306,0)</f>
        <v>0</v>
      </c>
      <c r="E307" s="26" t="n">
        <f aca="false">D307*B307/365</f>
        <v>0</v>
      </c>
      <c r="F307" s="25" t="n">
        <f aca="false">F306+E307*(1-IF(D307&gt;0,(IF(A307&gt;Penalty!$B$19,Penalty!$I$5,0)+G306)/D307,0))</f>
        <v>345.789278153858</v>
      </c>
      <c r="G307" s="25" t="n">
        <f aca="false">G306+E307*IF(D307&gt;0,(IF(A307&gt;Penalty!$B$19,Penalty!$I$5,0)+G306)/D307,0)</f>
        <v>46.6815525507708</v>
      </c>
    </row>
    <row r="308" customFormat="false" ht="15" hidden="false" customHeight="false" outlineLevel="0" collapsed="false">
      <c r="A308" s="23" t="n">
        <f aca="false">Penalty!$B$5+304</f>
        <v>46431</v>
      </c>
      <c r="B308" s="24" t="n">
        <f aca="false">IF(YEAR(A308)&gt;2026,Penalty!$B$16/100,IFERROR(INDEX(Rates!$B$4:$E$15,MATCH(YEAR(A308),Rates!$A$4:$A$15,0),ROUNDUP(MONTH(A308)/3,0))/100,0.03))</f>
        <v>0.07</v>
      </c>
      <c r="C308" s="25" t="n">
        <f aca="false">MAX(0,Penalty!$B$4-SUMIFS(Penalty!$C$10:$C$12,Penalty!$B$10:$B$12,"&lt;"&amp;A308))</f>
        <v>12000</v>
      </c>
      <c r="D308" s="25" t="n">
        <f aca="false">IF(A308&lt;=Penalty!$B$8,C308+F307+IF(A308&gt;Penalty!$B$19,Penalty!$I$5,0)+G307,0)</f>
        <v>0</v>
      </c>
      <c r="E308" s="26" t="n">
        <f aca="false">D308*B308/365</f>
        <v>0</v>
      </c>
      <c r="F308" s="25" t="n">
        <f aca="false">F307+E308*(1-IF(D308&gt;0,(IF(A308&gt;Penalty!$B$19,Penalty!$I$5,0)+G307)/D308,0))</f>
        <v>345.789278153858</v>
      </c>
      <c r="G308" s="25" t="n">
        <f aca="false">G307+E308*IF(D308&gt;0,(IF(A308&gt;Penalty!$B$19,Penalty!$I$5,0)+G307)/D308,0)</f>
        <v>46.6815525507708</v>
      </c>
    </row>
    <row r="309" customFormat="false" ht="15" hidden="false" customHeight="false" outlineLevel="0" collapsed="false">
      <c r="A309" s="23" t="n">
        <f aca="false">Penalty!$B$5+305</f>
        <v>46432</v>
      </c>
      <c r="B309" s="24" t="n">
        <f aca="false">IF(YEAR(A309)&gt;2026,Penalty!$B$16/100,IFERROR(INDEX(Rates!$B$4:$E$15,MATCH(YEAR(A309),Rates!$A$4:$A$15,0),ROUNDUP(MONTH(A309)/3,0))/100,0.03))</f>
        <v>0.07</v>
      </c>
      <c r="C309" s="25" t="n">
        <f aca="false">MAX(0,Penalty!$B$4-SUMIFS(Penalty!$C$10:$C$12,Penalty!$B$10:$B$12,"&lt;"&amp;A309))</f>
        <v>12000</v>
      </c>
      <c r="D309" s="25" t="n">
        <f aca="false">IF(A309&lt;=Penalty!$B$8,C309+F308+IF(A309&gt;Penalty!$B$19,Penalty!$I$5,0)+G308,0)</f>
        <v>0</v>
      </c>
      <c r="E309" s="26" t="n">
        <f aca="false">D309*B309/365</f>
        <v>0</v>
      </c>
      <c r="F309" s="25" t="n">
        <f aca="false">F308+E309*(1-IF(D309&gt;0,(IF(A309&gt;Penalty!$B$19,Penalty!$I$5,0)+G308)/D309,0))</f>
        <v>345.789278153858</v>
      </c>
      <c r="G309" s="25" t="n">
        <f aca="false">G308+E309*IF(D309&gt;0,(IF(A309&gt;Penalty!$B$19,Penalty!$I$5,0)+G308)/D309,0)</f>
        <v>46.6815525507708</v>
      </c>
    </row>
    <row r="310" customFormat="false" ht="15" hidden="false" customHeight="false" outlineLevel="0" collapsed="false">
      <c r="A310" s="23" t="n">
        <f aca="false">Penalty!$B$5+306</f>
        <v>46433</v>
      </c>
      <c r="B310" s="24" t="n">
        <f aca="false">IF(YEAR(A310)&gt;2026,Penalty!$B$16/100,IFERROR(INDEX(Rates!$B$4:$E$15,MATCH(YEAR(A310),Rates!$A$4:$A$15,0),ROUNDUP(MONTH(A310)/3,0))/100,0.03))</f>
        <v>0.07</v>
      </c>
      <c r="C310" s="25" t="n">
        <f aca="false">MAX(0,Penalty!$B$4-SUMIFS(Penalty!$C$10:$C$12,Penalty!$B$10:$B$12,"&lt;"&amp;A310))</f>
        <v>12000</v>
      </c>
      <c r="D310" s="25" t="n">
        <f aca="false">IF(A310&lt;=Penalty!$B$8,C310+F309+IF(A310&gt;Penalty!$B$19,Penalty!$I$5,0)+G309,0)</f>
        <v>0</v>
      </c>
      <c r="E310" s="26" t="n">
        <f aca="false">D310*B310/365</f>
        <v>0</v>
      </c>
      <c r="F310" s="25" t="n">
        <f aca="false">F309+E310*(1-IF(D310&gt;0,(IF(A310&gt;Penalty!$B$19,Penalty!$I$5,0)+G309)/D310,0))</f>
        <v>345.789278153858</v>
      </c>
      <c r="G310" s="25" t="n">
        <f aca="false">G309+E310*IF(D310&gt;0,(IF(A310&gt;Penalty!$B$19,Penalty!$I$5,0)+G309)/D310,0)</f>
        <v>46.6815525507708</v>
      </c>
    </row>
    <row r="311" customFormat="false" ht="15" hidden="false" customHeight="false" outlineLevel="0" collapsed="false">
      <c r="A311" s="23" t="n">
        <f aca="false">Penalty!$B$5+307</f>
        <v>46434</v>
      </c>
      <c r="B311" s="24" t="n">
        <f aca="false">IF(YEAR(A311)&gt;2026,Penalty!$B$16/100,IFERROR(INDEX(Rates!$B$4:$E$15,MATCH(YEAR(A311),Rates!$A$4:$A$15,0),ROUNDUP(MONTH(A311)/3,0))/100,0.03))</f>
        <v>0.07</v>
      </c>
      <c r="C311" s="25" t="n">
        <f aca="false">MAX(0,Penalty!$B$4-SUMIFS(Penalty!$C$10:$C$12,Penalty!$B$10:$B$12,"&lt;"&amp;A311))</f>
        <v>12000</v>
      </c>
      <c r="D311" s="25" t="n">
        <f aca="false">IF(A311&lt;=Penalty!$B$8,C311+F310+IF(A311&gt;Penalty!$B$19,Penalty!$I$5,0)+G310,0)</f>
        <v>0</v>
      </c>
      <c r="E311" s="26" t="n">
        <f aca="false">D311*B311/365</f>
        <v>0</v>
      </c>
      <c r="F311" s="25" t="n">
        <f aca="false">F310+E311*(1-IF(D311&gt;0,(IF(A311&gt;Penalty!$B$19,Penalty!$I$5,0)+G310)/D311,0))</f>
        <v>345.789278153858</v>
      </c>
      <c r="G311" s="25" t="n">
        <f aca="false">G310+E311*IF(D311&gt;0,(IF(A311&gt;Penalty!$B$19,Penalty!$I$5,0)+G310)/D311,0)</f>
        <v>46.6815525507708</v>
      </c>
    </row>
    <row r="312" customFormat="false" ht="15" hidden="false" customHeight="false" outlineLevel="0" collapsed="false">
      <c r="A312" s="23" t="n">
        <f aca="false">Penalty!$B$5+308</f>
        <v>46435</v>
      </c>
      <c r="B312" s="24" t="n">
        <f aca="false">IF(YEAR(A312)&gt;2026,Penalty!$B$16/100,IFERROR(INDEX(Rates!$B$4:$E$15,MATCH(YEAR(A312),Rates!$A$4:$A$15,0),ROUNDUP(MONTH(A312)/3,0))/100,0.03))</f>
        <v>0.07</v>
      </c>
      <c r="C312" s="25" t="n">
        <f aca="false">MAX(0,Penalty!$B$4-SUMIFS(Penalty!$C$10:$C$12,Penalty!$B$10:$B$12,"&lt;"&amp;A312))</f>
        <v>12000</v>
      </c>
      <c r="D312" s="25" t="n">
        <f aca="false">IF(A312&lt;=Penalty!$B$8,C312+F311+IF(A312&gt;Penalty!$B$19,Penalty!$I$5,0)+G311,0)</f>
        <v>0</v>
      </c>
      <c r="E312" s="26" t="n">
        <f aca="false">D312*B312/365</f>
        <v>0</v>
      </c>
      <c r="F312" s="25" t="n">
        <f aca="false">F311+E312*(1-IF(D312&gt;0,(IF(A312&gt;Penalty!$B$19,Penalty!$I$5,0)+G311)/D312,0))</f>
        <v>345.789278153858</v>
      </c>
      <c r="G312" s="25" t="n">
        <f aca="false">G311+E312*IF(D312&gt;0,(IF(A312&gt;Penalty!$B$19,Penalty!$I$5,0)+G311)/D312,0)</f>
        <v>46.6815525507708</v>
      </c>
    </row>
    <row r="313" customFormat="false" ht="15" hidden="false" customHeight="false" outlineLevel="0" collapsed="false">
      <c r="A313" s="23" t="n">
        <f aca="false">Penalty!$B$5+309</f>
        <v>46436</v>
      </c>
      <c r="B313" s="24" t="n">
        <f aca="false">IF(YEAR(A313)&gt;2026,Penalty!$B$16/100,IFERROR(INDEX(Rates!$B$4:$E$15,MATCH(YEAR(A313),Rates!$A$4:$A$15,0),ROUNDUP(MONTH(A313)/3,0))/100,0.03))</f>
        <v>0.07</v>
      </c>
      <c r="C313" s="25" t="n">
        <f aca="false">MAX(0,Penalty!$B$4-SUMIFS(Penalty!$C$10:$C$12,Penalty!$B$10:$B$12,"&lt;"&amp;A313))</f>
        <v>12000</v>
      </c>
      <c r="D313" s="25" t="n">
        <f aca="false">IF(A313&lt;=Penalty!$B$8,C313+F312+IF(A313&gt;Penalty!$B$19,Penalty!$I$5,0)+G312,0)</f>
        <v>0</v>
      </c>
      <c r="E313" s="26" t="n">
        <f aca="false">D313*B313/365</f>
        <v>0</v>
      </c>
      <c r="F313" s="25" t="n">
        <f aca="false">F312+E313*(1-IF(D313&gt;0,(IF(A313&gt;Penalty!$B$19,Penalty!$I$5,0)+G312)/D313,0))</f>
        <v>345.789278153858</v>
      </c>
      <c r="G313" s="25" t="n">
        <f aca="false">G312+E313*IF(D313&gt;0,(IF(A313&gt;Penalty!$B$19,Penalty!$I$5,0)+G312)/D313,0)</f>
        <v>46.6815525507708</v>
      </c>
    </row>
    <row r="314" customFormat="false" ht="15" hidden="false" customHeight="false" outlineLevel="0" collapsed="false">
      <c r="A314" s="23" t="n">
        <f aca="false">Penalty!$B$5+310</f>
        <v>46437</v>
      </c>
      <c r="B314" s="24" t="n">
        <f aca="false">IF(YEAR(A314)&gt;2026,Penalty!$B$16/100,IFERROR(INDEX(Rates!$B$4:$E$15,MATCH(YEAR(A314),Rates!$A$4:$A$15,0),ROUNDUP(MONTH(A314)/3,0))/100,0.03))</f>
        <v>0.07</v>
      </c>
      <c r="C314" s="25" t="n">
        <f aca="false">MAX(0,Penalty!$B$4-SUMIFS(Penalty!$C$10:$C$12,Penalty!$B$10:$B$12,"&lt;"&amp;A314))</f>
        <v>12000</v>
      </c>
      <c r="D314" s="25" t="n">
        <f aca="false">IF(A314&lt;=Penalty!$B$8,C314+F313+IF(A314&gt;Penalty!$B$19,Penalty!$I$5,0)+G313,0)</f>
        <v>0</v>
      </c>
      <c r="E314" s="26" t="n">
        <f aca="false">D314*B314/365</f>
        <v>0</v>
      </c>
      <c r="F314" s="25" t="n">
        <f aca="false">F313+E314*(1-IF(D314&gt;0,(IF(A314&gt;Penalty!$B$19,Penalty!$I$5,0)+G313)/D314,0))</f>
        <v>345.789278153858</v>
      </c>
      <c r="G314" s="25" t="n">
        <f aca="false">G313+E314*IF(D314&gt;0,(IF(A314&gt;Penalty!$B$19,Penalty!$I$5,0)+G313)/D314,0)</f>
        <v>46.6815525507708</v>
      </c>
    </row>
    <row r="315" customFormat="false" ht="15" hidden="false" customHeight="false" outlineLevel="0" collapsed="false">
      <c r="A315" s="23" t="n">
        <f aca="false">Penalty!$B$5+311</f>
        <v>46438</v>
      </c>
      <c r="B315" s="24" t="n">
        <f aca="false">IF(YEAR(A315)&gt;2026,Penalty!$B$16/100,IFERROR(INDEX(Rates!$B$4:$E$15,MATCH(YEAR(A315),Rates!$A$4:$A$15,0),ROUNDUP(MONTH(A315)/3,0))/100,0.03))</f>
        <v>0.07</v>
      </c>
      <c r="C315" s="25" t="n">
        <f aca="false">MAX(0,Penalty!$B$4-SUMIFS(Penalty!$C$10:$C$12,Penalty!$B$10:$B$12,"&lt;"&amp;A315))</f>
        <v>12000</v>
      </c>
      <c r="D315" s="25" t="n">
        <f aca="false">IF(A315&lt;=Penalty!$B$8,C315+F314+IF(A315&gt;Penalty!$B$19,Penalty!$I$5,0)+G314,0)</f>
        <v>0</v>
      </c>
      <c r="E315" s="26" t="n">
        <f aca="false">D315*B315/365</f>
        <v>0</v>
      </c>
      <c r="F315" s="25" t="n">
        <f aca="false">F314+E315*(1-IF(D315&gt;0,(IF(A315&gt;Penalty!$B$19,Penalty!$I$5,0)+G314)/D315,0))</f>
        <v>345.789278153858</v>
      </c>
      <c r="G315" s="25" t="n">
        <f aca="false">G314+E315*IF(D315&gt;0,(IF(A315&gt;Penalty!$B$19,Penalty!$I$5,0)+G314)/D315,0)</f>
        <v>46.6815525507708</v>
      </c>
    </row>
    <row r="316" customFormat="false" ht="15" hidden="false" customHeight="false" outlineLevel="0" collapsed="false">
      <c r="A316" s="23" t="n">
        <f aca="false">Penalty!$B$5+312</f>
        <v>46439</v>
      </c>
      <c r="B316" s="24" t="n">
        <f aca="false">IF(YEAR(A316)&gt;2026,Penalty!$B$16/100,IFERROR(INDEX(Rates!$B$4:$E$15,MATCH(YEAR(A316),Rates!$A$4:$A$15,0),ROUNDUP(MONTH(A316)/3,0))/100,0.03))</f>
        <v>0.07</v>
      </c>
      <c r="C316" s="25" t="n">
        <f aca="false">MAX(0,Penalty!$B$4-SUMIFS(Penalty!$C$10:$C$12,Penalty!$B$10:$B$12,"&lt;"&amp;A316))</f>
        <v>12000</v>
      </c>
      <c r="D316" s="25" t="n">
        <f aca="false">IF(A316&lt;=Penalty!$B$8,C316+F315+IF(A316&gt;Penalty!$B$19,Penalty!$I$5,0)+G315,0)</f>
        <v>0</v>
      </c>
      <c r="E316" s="26" t="n">
        <f aca="false">D316*B316/365</f>
        <v>0</v>
      </c>
      <c r="F316" s="25" t="n">
        <f aca="false">F315+E316*(1-IF(D316&gt;0,(IF(A316&gt;Penalty!$B$19,Penalty!$I$5,0)+G315)/D316,0))</f>
        <v>345.789278153858</v>
      </c>
      <c r="G316" s="25" t="n">
        <f aca="false">G315+E316*IF(D316&gt;0,(IF(A316&gt;Penalty!$B$19,Penalty!$I$5,0)+G315)/D316,0)</f>
        <v>46.6815525507708</v>
      </c>
    </row>
    <row r="317" customFormat="false" ht="15" hidden="false" customHeight="false" outlineLevel="0" collapsed="false">
      <c r="A317" s="23" t="n">
        <f aca="false">Penalty!$B$5+313</f>
        <v>46440</v>
      </c>
      <c r="B317" s="24" t="n">
        <f aca="false">IF(YEAR(A317)&gt;2026,Penalty!$B$16/100,IFERROR(INDEX(Rates!$B$4:$E$15,MATCH(YEAR(A317),Rates!$A$4:$A$15,0),ROUNDUP(MONTH(A317)/3,0))/100,0.03))</f>
        <v>0.07</v>
      </c>
      <c r="C317" s="25" t="n">
        <f aca="false">MAX(0,Penalty!$B$4-SUMIFS(Penalty!$C$10:$C$12,Penalty!$B$10:$B$12,"&lt;"&amp;A317))</f>
        <v>12000</v>
      </c>
      <c r="D317" s="25" t="n">
        <f aca="false">IF(A317&lt;=Penalty!$B$8,C317+F316+IF(A317&gt;Penalty!$B$19,Penalty!$I$5,0)+G316,0)</f>
        <v>0</v>
      </c>
      <c r="E317" s="26" t="n">
        <f aca="false">D317*B317/365</f>
        <v>0</v>
      </c>
      <c r="F317" s="25" t="n">
        <f aca="false">F316+E317*(1-IF(D317&gt;0,(IF(A317&gt;Penalty!$B$19,Penalty!$I$5,0)+G316)/D317,0))</f>
        <v>345.789278153858</v>
      </c>
      <c r="G317" s="25" t="n">
        <f aca="false">G316+E317*IF(D317&gt;0,(IF(A317&gt;Penalty!$B$19,Penalty!$I$5,0)+G316)/D317,0)</f>
        <v>46.6815525507708</v>
      </c>
    </row>
    <row r="318" customFormat="false" ht="15" hidden="false" customHeight="false" outlineLevel="0" collapsed="false">
      <c r="A318" s="23" t="n">
        <f aca="false">Penalty!$B$5+314</f>
        <v>46441</v>
      </c>
      <c r="B318" s="24" t="n">
        <f aca="false">IF(YEAR(A318)&gt;2026,Penalty!$B$16/100,IFERROR(INDEX(Rates!$B$4:$E$15,MATCH(YEAR(A318),Rates!$A$4:$A$15,0),ROUNDUP(MONTH(A318)/3,0))/100,0.03))</f>
        <v>0.07</v>
      </c>
      <c r="C318" s="25" t="n">
        <f aca="false">MAX(0,Penalty!$B$4-SUMIFS(Penalty!$C$10:$C$12,Penalty!$B$10:$B$12,"&lt;"&amp;A318))</f>
        <v>12000</v>
      </c>
      <c r="D318" s="25" t="n">
        <f aca="false">IF(A318&lt;=Penalty!$B$8,C318+F317+IF(A318&gt;Penalty!$B$19,Penalty!$I$5,0)+G317,0)</f>
        <v>0</v>
      </c>
      <c r="E318" s="26" t="n">
        <f aca="false">D318*B318/365</f>
        <v>0</v>
      </c>
      <c r="F318" s="25" t="n">
        <f aca="false">F317+E318*(1-IF(D318&gt;0,(IF(A318&gt;Penalty!$B$19,Penalty!$I$5,0)+G317)/D318,0))</f>
        <v>345.789278153858</v>
      </c>
      <c r="G318" s="25" t="n">
        <f aca="false">G317+E318*IF(D318&gt;0,(IF(A318&gt;Penalty!$B$19,Penalty!$I$5,0)+G317)/D318,0)</f>
        <v>46.6815525507708</v>
      </c>
    </row>
    <row r="319" customFormat="false" ht="15" hidden="false" customHeight="false" outlineLevel="0" collapsed="false">
      <c r="A319" s="23" t="n">
        <f aca="false">Penalty!$B$5+315</f>
        <v>46442</v>
      </c>
      <c r="B319" s="24" t="n">
        <f aca="false">IF(YEAR(A319)&gt;2026,Penalty!$B$16/100,IFERROR(INDEX(Rates!$B$4:$E$15,MATCH(YEAR(A319),Rates!$A$4:$A$15,0),ROUNDUP(MONTH(A319)/3,0))/100,0.03))</f>
        <v>0.07</v>
      </c>
      <c r="C319" s="25" t="n">
        <f aca="false">MAX(0,Penalty!$B$4-SUMIFS(Penalty!$C$10:$C$12,Penalty!$B$10:$B$12,"&lt;"&amp;A319))</f>
        <v>12000</v>
      </c>
      <c r="D319" s="25" t="n">
        <f aca="false">IF(A319&lt;=Penalty!$B$8,C319+F318+IF(A319&gt;Penalty!$B$19,Penalty!$I$5,0)+G318,0)</f>
        <v>0</v>
      </c>
      <c r="E319" s="26" t="n">
        <f aca="false">D319*B319/365</f>
        <v>0</v>
      </c>
      <c r="F319" s="25" t="n">
        <f aca="false">F318+E319*(1-IF(D319&gt;0,(IF(A319&gt;Penalty!$B$19,Penalty!$I$5,0)+G318)/D319,0))</f>
        <v>345.789278153858</v>
      </c>
      <c r="G319" s="25" t="n">
        <f aca="false">G318+E319*IF(D319&gt;0,(IF(A319&gt;Penalty!$B$19,Penalty!$I$5,0)+G318)/D319,0)</f>
        <v>46.6815525507708</v>
      </c>
    </row>
    <row r="320" customFormat="false" ht="15" hidden="false" customHeight="false" outlineLevel="0" collapsed="false">
      <c r="A320" s="23" t="n">
        <f aca="false">Penalty!$B$5+316</f>
        <v>46443</v>
      </c>
      <c r="B320" s="24" t="n">
        <f aca="false">IF(YEAR(A320)&gt;2026,Penalty!$B$16/100,IFERROR(INDEX(Rates!$B$4:$E$15,MATCH(YEAR(A320),Rates!$A$4:$A$15,0),ROUNDUP(MONTH(A320)/3,0))/100,0.03))</f>
        <v>0.07</v>
      </c>
      <c r="C320" s="25" t="n">
        <f aca="false">MAX(0,Penalty!$B$4-SUMIFS(Penalty!$C$10:$C$12,Penalty!$B$10:$B$12,"&lt;"&amp;A320))</f>
        <v>12000</v>
      </c>
      <c r="D320" s="25" t="n">
        <f aca="false">IF(A320&lt;=Penalty!$B$8,C320+F319+IF(A320&gt;Penalty!$B$19,Penalty!$I$5,0)+G319,0)</f>
        <v>0</v>
      </c>
      <c r="E320" s="26" t="n">
        <f aca="false">D320*B320/365</f>
        <v>0</v>
      </c>
      <c r="F320" s="25" t="n">
        <f aca="false">F319+E320*(1-IF(D320&gt;0,(IF(A320&gt;Penalty!$B$19,Penalty!$I$5,0)+G319)/D320,0))</f>
        <v>345.789278153858</v>
      </c>
      <c r="G320" s="25" t="n">
        <f aca="false">G319+E320*IF(D320&gt;0,(IF(A320&gt;Penalty!$B$19,Penalty!$I$5,0)+G319)/D320,0)</f>
        <v>46.6815525507708</v>
      </c>
    </row>
    <row r="321" customFormat="false" ht="15" hidden="false" customHeight="false" outlineLevel="0" collapsed="false">
      <c r="A321" s="23" t="n">
        <f aca="false">Penalty!$B$5+317</f>
        <v>46444</v>
      </c>
      <c r="B321" s="24" t="n">
        <f aca="false">IF(YEAR(A321)&gt;2026,Penalty!$B$16/100,IFERROR(INDEX(Rates!$B$4:$E$15,MATCH(YEAR(A321),Rates!$A$4:$A$15,0),ROUNDUP(MONTH(A321)/3,0))/100,0.03))</f>
        <v>0.07</v>
      </c>
      <c r="C321" s="25" t="n">
        <f aca="false">MAX(0,Penalty!$B$4-SUMIFS(Penalty!$C$10:$C$12,Penalty!$B$10:$B$12,"&lt;"&amp;A321))</f>
        <v>12000</v>
      </c>
      <c r="D321" s="25" t="n">
        <f aca="false">IF(A321&lt;=Penalty!$B$8,C321+F320+IF(A321&gt;Penalty!$B$19,Penalty!$I$5,0)+G320,0)</f>
        <v>0</v>
      </c>
      <c r="E321" s="26" t="n">
        <f aca="false">D321*B321/365</f>
        <v>0</v>
      </c>
      <c r="F321" s="25" t="n">
        <f aca="false">F320+E321*(1-IF(D321&gt;0,(IF(A321&gt;Penalty!$B$19,Penalty!$I$5,0)+G320)/D321,0))</f>
        <v>345.789278153858</v>
      </c>
      <c r="G321" s="25" t="n">
        <f aca="false">G320+E321*IF(D321&gt;0,(IF(A321&gt;Penalty!$B$19,Penalty!$I$5,0)+G320)/D321,0)</f>
        <v>46.6815525507708</v>
      </c>
    </row>
    <row r="322" customFormat="false" ht="15" hidden="false" customHeight="false" outlineLevel="0" collapsed="false">
      <c r="A322" s="23" t="n">
        <f aca="false">Penalty!$B$5+318</f>
        <v>46445</v>
      </c>
      <c r="B322" s="24" t="n">
        <f aca="false">IF(YEAR(A322)&gt;2026,Penalty!$B$16/100,IFERROR(INDEX(Rates!$B$4:$E$15,MATCH(YEAR(A322),Rates!$A$4:$A$15,0),ROUNDUP(MONTH(A322)/3,0))/100,0.03))</f>
        <v>0.07</v>
      </c>
      <c r="C322" s="25" t="n">
        <f aca="false">MAX(0,Penalty!$B$4-SUMIFS(Penalty!$C$10:$C$12,Penalty!$B$10:$B$12,"&lt;"&amp;A322))</f>
        <v>12000</v>
      </c>
      <c r="D322" s="25" t="n">
        <f aca="false">IF(A322&lt;=Penalty!$B$8,C322+F321+IF(A322&gt;Penalty!$B$19,Penalty!$I$5,0)+G321,0)</f>
        <v>0</v>
      </c>
      <c r="E322" s="26" t="n">
        <f aca="false">D322*B322/365</f>
        <v>0</v>
      </c>
      <c r="F322" s="25" t="n">
        <f aca="false">F321+E322*(1-IF(D322&gt;0,(IF(A322&gt;Penalty!$B$19,Penalty!$I$5,0)+G321)/D322,0))</f>
        <v>345.789278153858</v>
      </c>
      <c r="G322" s="25" t="n">
        <f aca="false">G321+E322*IF(D322&gt;0,(IF(A322&gt;Penalty!$B$19,Penalty!$I$5,0)+G321)/D322,0)</f>
        <v>46.6815525507708</v>
      </c>
    </row>
    <row r="323" customFormat="false" ht="15" hidden="false" customHeight="false" outlineLevel="0" collapsed="false">
      <c r="A323" s="23" t="n">
        <f aca="false">Penalty!$B$5+319</f>
        <v>46446</v>
      </c>
      <c r="B323" s="24" t="n">
        <f aca="false">IF(YEAR(A323)&gt;2026,Penalty!$B$16/100,IFERROR(INDEX(Rates!$B$4:$E$15,MATCH(YEAR(A323),Rates!$A$4:$A$15,0),ROUNDUP(MONTH(A323)/3,0))/100,0.03))</f>
        <v>0.07</v>
      </c>
      <c r="C323" s="25" t="n">
        <f aca="false">MAX(0,Penalty!$B$4-SUMIFS(Penalty!$C$10:$C$12,Penalty!$B$10:$B$12,"&lt;"&amp;A323))</f>
        <v>12000</v>
      </c>
      <c r="D323" s="25" t="n">
        <f aca="false">IF(A323&lt;=Penalty!$B$8,C323+F322+IF(A323&gt;Penalty!$B$19,Penalty!$I$5,0)+G322,0)</f>
        <v>0</v>
      </c>
      <c r="E323" s="26" t="n">
        <f aca="false">D323*B323/365</f>
        <v>0</v>
      </c>
      <c r="F323" s="25" t="n">
        <f aca="false">F322+E323*(1-IF(D323&gt;0,(IF(A323&gt;Penalty!$B$19,Penalty!$I$5,0)+G322)/D323,0))</f>
        <v>345.789278153858</v>
      </c>
      <c r="G323" s="25" t="n">
        <f aca="false">G322+E323*IF(D323&gt;0,(IF(A323&gt;Penalty!$B$19,Penalty!$I$5,0)+G322)/D323,0)</f>
        <v>46.6815525507708</v>
      </c>
    </row>
    <row r="324" customFormat="false" ht="15" hidden="false" customHeight="false" outlineLevel="0" collapsed="false">
      <c r="A324" s="23" t="n">
        <f aca="false">Penalty!$B$5+320</f>
        <v>46447</v>
      </c>
      <c r="B324" s="24" t="n">
        <f aca="false">IF(YEAR(A324)&gt;2026,Penalty!$B$16/100,IFERROR(INDEX(Rates!$B$4:$E$15,MATCH(YEAR(A324),Rates!$A$4:$A$15,0),ROUNDUP(MONTH(A324)/3,0))/100,0.03))</f>
        <v>0.07</v>
      </c>
      <c r="C324" s="25" t="n">
        <f aca="false">MAX(0,Penalty!$B$4-SUMIFS(Penalty!$C$10:$C$12,Penalty!$B$10:$B$12,"&lt;"&amp;A324))</f>
        <v>12000</v>
      </c>
      <c r="D324" s="25" t="n">
        <f aca="false">IF(A324&lt;=Penalty!$B$8,C324+F323+IF(A324&gt;Penalty!$B$19,Penalty!$I$5,0)+G323,0)</f>
        <v>0</v>
      </c>
      <c r="E324" s="26" t="n">
        <f aca="false">D324*B324/365</f>
        <v>0</v>
      </c>
      <c r="F324" s="25" t="n">
        <f aca="false">F323+E324*(1-IF(D324&gt;0,(IF(A324&gt;Penalty!$B$19,Penalty!$I$5,0)+G323)/D324,0))</f>
        <v>345.789278153858</v>
      </c>
      <c r="G324" s="25" t="n">
        <f aca="false">G323+E324*IF(D324&gt;0,(IF(A324&gt;Penalty!$B$19,Penalty!$I$5,0)+G323)/D324,0)</f>
        <v>46.6815525507708</v>
      </c>
    </row>
    <row r="325" customFormat="false" ht="15" hidden="false" customHeight="false" outlineLevel="0" collapsed="false">
      <c r="A325" s="23" t="n">
        <f aca="false">Penalty!$B$5+321</f>
        <v>46448</v>
      </c>
      <c r="B325" s="24" t="n">
        <f aca="false">IF(YEAR(A325)&gt;2026,Penalty!$B$16/100,IFERROR(INDEX(Rates!$B$4:$E$15,MATCH(YEAR(A325),Rates!$A$4:$A$15,0),ROUNDUP(MONTH(A325)/3,0))/100,0.03))</f>
        <v>0.07</v>
      </c>
      <c r="C325" s="25" t="n">
        <f aca="false">MAX(0,Penalty!$B$4-SUMIFS(Penalty!$C$10:$C$12,Penalty!$B$10:$B$12,"&lt;"&amp;A325))</f>
        <v>12000</v>
      </c>
      <c r="D325" s="25" t="n">
        <f aca="false">IF(A325&lt;=Penalty!$B$8,C325+F324+IF(A325&gt;Penalty!$B$19,Penalty!$I$5,0)+G324,0)</f>
        <v>0</v>
      </c>
      <c r="E325" s="26" t="n">
        <f aca="false">D325*B325/365</f>
        <v>0</v>
      </c>
      <c r="F325" s="25" t="n">
        <f aca="false">F324+E325*(1-IF(D325&gt;0,(IF(A325&gt;Penalty!$B$19,Penalty!$I$5,0)+G324)/D325,0))</f>
        <v>345.789278153858</v>
      </c>
      <c r="G325" s="25" t="n">
        <f aca="false">G324+E325*IF(D325&gt;0,(IF(A325&gt;Penalty!$B$19,Penalty!$I$5,0)+G324)/D325,0)</f>
        <v>46.6815525507708</v>
      </c>
    </row>
    <row r="326" customFormat="false" ht="15" hidden="false" customHeight="false" outlineLevel="0" collapsed="false">
      <c r="A326" s="23" t="n">
        <f aca="false">Penalty!$B$5+322</f>
        <v>46449</v>
      </c>
      <c r="B326" s="24" t="n">
        <f aca="false">IF(YEAR(A326)&gt;2026,Penalty!$B$16/100,IFERROR(INDEX(Rates!$B$4:$E$15,MATCH(YEAR(A326),Rates!$A$4:$A$15,0),ROUNDUP(MONTH(A326)/3,0))/100,0.03))</f>
        <v>0.07</v>
      </c>
      <c r="C326" s="25" t="n">
        <f aca="false">MAX(0,Penalty!$B$4-SUMIFS(Penalty!$C$10:$C$12,Penalty!$B$10:$B$12,"&lt;"&amp;A326))</f>
        <v>12000</v>
      </c>
      <c r="D326" s="25" t="n">
        <f aca="false">IF(A326&lt;=Penalty!$B$8,C326+F325+IF(A326&gt;Penalty!$B$19,Penalty!$I$5,0)+G325,0)</f>
        <v>0</v>
      </c>
      <c r="E326" s="26" t="n">
        <f aca="false">D326*B326/365</f>
        <v>0</v>
      </c>
      <c r="F326" s="25" t="n">
        <f aca="false">F325+E326*(1-IF(D326&gt;0,(IF(A326&gt;Penalty!$B$19,Penalty!$I$5,0)+G325)/D326,0))</f>
        <v>345.789278153858</v>
      </c>
      <c r="G326" s="25" t="n">
        <f aca="false">G325+E326*IF(D326&gt;0,(IF(A326&gt;Penalty!$B$19,Penalty!$I$5,0)+G325)/D326,0)</f>
        <v>46.6815525507708</v>
      </c>
    </row>
    <row r="327" customFormat="false" ht="15" hidden="false" customHeight="false" outlineLevel="0" collapsed="false">
      <c r="A327" s="23" t="n">
        <f aca="false">Penalty!$B$5+323</f>
        <v>46450</v>
      </c>
      <c r="B327" s="24" t="n">
        <f aca="false">IF(YEAR(A327)&gt;2026,Penalty!$B$16/100,IFERROR(INDEX(Rates!$B$4:$E$15,MATCH(YEAR(A327),Rates!$A$4:$A$15,0),ROUNDUP(MONTH(A327)/3,0))/100,0.03))</f>
        <v>0.07</v>
      </c>
      <c r="C327" s="25" t="n">
        <f aca="false">MAX(0,Penalty!$B$4-SUMIFS(Penalty!$C$10:$C$12,Penalty!$B$10:$B$12,"&lt;"&amp;A327))</f>
        <v>12000</v>
      </c>
      <c r="D327" s="25" t="n">
        <f aca="false">IF(A327&lt;=Penalty!$B$8,C327+F326+IF(A327&gt;Penalty!$B$19,Penalty!$I$5,0)+G326,0)</f>
        <v>0</v>
      </c>
      <c r="E327" s="26" t="n">
        <f aca="false">D327*B327/365</f>
        <v>0</v>
      </c>
      <c r="F327" s="25" t="n">
        <f aca="false">F326+E327*(1-IF(D327&gt;0,(IF(A327&gt;Penalty!$B$19,Penalty!$I$5,0)+G326)/D327,0))</f>
        <v>345.789278153858</v>
      </c>
      <c r="G327" s="25" t="n">
        <f aca="false">G326+E327*IF(D327&gt;0,(IF(A327&gt;Penalty!$B$19,Penalty!$I$5,0)+G326)/D327,0)</f>
        <v>46.6815525507708</v>
      </c>
    </row>
    <row r="328" customFormat="false" ht="15" hidden="false" customHeight="false" outlineLevel="0" collapsed="false">
      <c r="A328" s="23" t="n">
        <f aca="false">Penalty!$B$5+324</f>
        <v>46451</v>
      </c>
      <c r="B328" s="24" t="n">
        <f aca="false">IF(YEAR(A328)&gt;2026,Penalty!$B$16/100,IFERROR(INDEX(Rates!$B$4:$E$15,MATCH(YEAR(A328),Rates!$A$4:$A$15,0),ROUNDUP(MONTH(A328)/3,0))/100,0.03))</f>
        <v>0.07</v>
      </c>
      <c r="C328" s="25" t="n">
        <f aca="false">MAX(0,Penalty!$B$4-SUMIFS(Penalty!$C$10:$C$12,Penalty!$B$10:$B$12,"&lt;"&amp;A328))</f>
        <v>12000</v>
      </c>
      <c r="D328" s="25" t="n">
        <f aca="false">IF(A328&lt;=Penalty!$B$8,C328+F327+IF(A328&gt;Penalty!$B$19,Penalty!$I$5,0)+G327,0)</f>
        <v>0</v>
      </c>
      <c r="E328" s="26" t="n">
        <f aca="false">D328*B328/365</f>
        <v>0</v>
      </c>
      <c r="F328" s="25" t="n">
        <f aca="false">F327+E328*(1-IF(D328&gt;0,(IF(A328&gt;Penalty!$B$19,Penalty!$I$5,0)+G327)/D328,0))</f>
        <v>345.789278153858</v>
      </c>
      <c r="G328" s="25" t="n">
        <f aca="false">G327+E328*IF(D328&gt;0,(IF(A328&gt;Penalty!$B$19,Penalty!$I$5,0)+G327)/D328,0)</f>
        <v>46.6815525507708</v>
      </c>
    </row>
    <row r="329" customFormat="false" ht="15" hidden="false" customHeight="false" outlineLevel="0" collapsed="false">
      <c r="A329" s="23" t="n">
        <f aca="false">Penalty!$B$5+325</f>
        <v>46452</v>
      </c>
      <c r="B329" s="24" t="n">
        <f aca="false">IF(YEAR(A329)&gt;2026,Penalty!$B$16/100,IFERROR(INDEX(Rates!$B$4:$E$15,MATCH(YEAR(A329),Rates!$A$4:$A$15,0),ROUNDUP(MONTH(A329)/3,0))/100,0.03))</f>
        <v>0.07</v>
      </c>
      <c r="C329" s="25" t="n">
        <f aca="false">MAX(0,Penalty!$B$4-SUMIFS(Penalty!$C$10:$C$12,Penalty!$B$10:$B$12,"&lt;"&amp;A329))</f>
        <v>12000</v>
      </c>
      <c r="D329" s="25" t="n">
        <f aca="false">IF(A329&lt;=Penalty!$B$8,C329+F328+IF(A329&gt;Penalty!$B$19,Penalty!$I$5,0)+G328,0)</f>
        <v>0</v>
      </c>
      <c r="E329" s="26" t="n">
        <f aca="false">D329*B329/365</f>
        <v>0</v>
      </c>
      <c r="F329" s="25" t="n">
        <f aca="false">F328+E329*(1-IF(D329&gt;0,(IF(A329&gt;Penalty!$B$19,Penalty!$I$5,0)+G328)/D329,0))</f>
        <v>345.789278153858</v>
      </c>
      <c r="G329" s="25" t="n">
        <f aca="false">G328+E329*IF(D329&gt;0,(IF(A329&gt;Penalty!$B$19,Penalty!$I$5,0)+G328)/D329,0)</f>
        <v>46.6815525507708</v>
      </c>
    </row>
    <row r="330" customFormat="false" ht="15" hidden="false" customHeight="false" outlineLevel="0" collapsed="false">
      <c r="A330" s="23" t="n">
        <f aca="false">Penalty!$B$5+326</f>
        <v>46453</v>
      </c>
      <c r="B330" s="24" t="n">
        <f aca="false">IF(YEAR(A330)&gt;2026,Penalty!$B$16/100,IFERROR(INDEX(Rates!$B$4:$E$15,MATCH(YEAR(A330),Rates!$A$4:$A$15,0),ROUNDUP(MONTH(A330)/3,0))/100,0.03))</f>
        <v>0.07</v>
      </c>
      <c r="C330" s="25" t="n">
        <f aca="false">MAX(0,Penalty!$B$4-SUMIFS(Penalty!$C$10:$C$12,Penalty!$B$10:$B$12,"&lt;"&amp;A330))</f>
        <v>12000</v>
      </c>
      <c r="D330" s="25" t="n">
        <f aca="false">IF(A330&lt;=Penalty!$B$8,C330+F329+IF(A330&gt;Penalty!$B$19,Penalty!$I$5,0)+G329,0)</f>
        <v>0</v>
      </c>
      <c r="E330" s="26" t="n">
        <f aca="false">D330*B330/365</f>
        <v>0</v>
      </c>
      <c r="F330" s="25" t="n">
        <f aca="false">F329+E330*(1-IF(D330&gt;0,(IF(A330&gt;Penalty!$B$19,Penalty!$I$5,0)+G329)/D330,0))</f>
        <v>345.789278153858</v>
      </c>
      <c r="G330" s="25" t="n">
        <f aca="false">G329+E330*IF(D330&gt;0,(IF(A330&gt;Penalty!$B$19,Penalty!$I$5,0)+G329)/D330,0)</f>
        <v>46.6815525507708</v>
      </c>
    </row>
    <row r="331" customFormat="false" ht="15" hidden="false" customHeight="false" outlineLevel="0" collapsed="false">
      <c r="A331" s="23" t="n">
        <f aca="false">Penalty!$B$5+327</f>
        <v>46454</v>
      </c>
      <c r="B331" s="24" t="n">
        <f aca="false">IF(YEAR(A331)&gt;2026,Penalty!$B$16/100,IFERROR(INDEX(Rates!$B$4:$E$15,MATCH(YEAR(A331),Rates!$A$4:$A$15,0),ROUNDUP(MONTH(A331)/3,0))/100,0.03))</f>
        <v>0.07</v>
      </c>
      <c r="C331" s="25" t="n">
        <f aca="false">MAX(0,Penalty!$B$4-SUMIFS(Penalty!$C$10:$C$12,Penalty!$B$10:$B$12,"&lt;"&amp;A331))</f>
        <v>12000</v>
      </c>
      <c r="D331" s="25" t="n">
        <f aca="false">IF(A331&lt;=Penalty!$B$8,C331+F330+IF(A331&gt;Penalty!$B$19,Penalty!$I$5,0)+G330,0)</f>
        <v>0</v>
      </c>
      <c r="E331" s="26" t="n">
        <f aca="false">D331*B331/365</f>
        <v>0</v>
      </c>
      <c r="F331" s="25" t="n">
        <f aca="false">F330+E331*(1-IF(D331&gt;0,(IF(A331&gt;Penalty!$B$19,Penalty!$I$5,0)+G330)/D331,0))</f>
        <v>345.789278153858</v>
      </c>
      <c r="G331" s="25" t="n">
        <f aca="false">G330+E331*IF(D331&gt;0,(IF(A331&gt;Penalty!$B$19,Penalty!$I$5,0)+G330)/D331,0)</f>
        <v>46.6815525507708</v>
      </c>
    </row>
    <row r="332" customFormat="false" ht="15" hidden="false" customHeight="false" outlineLevel="0" collapsed="false">
      <c r="A332" s="23" t="n">
        <f aca="false">Penalty!$B$5+328</f>
        <v>46455</v>
      </c>
      <c r="B332" s="24" t="n">
        <f aca="false">IF(YEAR(A332)&gt;2026,Penalty!$B$16/100,IFERROR(INDEX(Rates!$B$4:$E$15,MATCH(YEAR(A332),Rates!$A$4:$A$15,0),ROUNDUP(MONTH(A332)/3,0))/100,0.03))</f>
        <v>0.07</v>
      </c>
      <c r="C332" s="25" t="n">
        <f aca="false">MAX(0,Penalty!$B$4-SUMIFS(Penalty!$C$10:$C$12,Penalty!$B$10:$B$12,"&lt;"&amp;A332))</f>
        <v>12000</v>
      </c>
      <c r="D332" s="25" t="n">
        <f aca="false">IF(A332&lt;=Penalty!$B$8,C332+F331+IF(A332&gt;Penalty!$B$19,Penalty!$I$5,0)+G331,0)</f>
        <v>0</v>
      </c>
      <c r="E332" s="26" t="n">
        <f aca="false">D332*B332/365</f>
        <v>0</v>
      </c>
      <c r="F332" s="25" t="n">
        <f aca="false">F331+E332*(1-IF(D332&gt;0,(IF(A332&gt;Penalty!$B$19,Penalty!$I$5,0)+G331)/D332,0))</f>
        <v>345.789278153858</v>
      </c>
      <c r="G332" s="25" t="n">
        <f aca="false">G331+E332*IF(D332&gt;0,(IF(A332&gt;Penalty!$B$19,Penalty!$I$5,0)+G331)/D332,0)</f>
        <v>46.6815525507708</v>
      </c>
    </row>
    <row r="333" customFormat="false" ht="15" hidden="false" customHeight="false" outlineLevel="0" collapsed="false">
      <c r="A333" s="23" t="n">
        <f aca="false">Penalty!$B$5+329</f>
        <v>46456</v>
      </c>
      <c r="B333" s="24" t="n">
        <f aca="false">IF(YEAR(A333)&gt;2026,Penalty!$B$16/100,IFERROR(INDEX(Rates!$B$4:$E$15,MATCH(YEAR(A333),Rates!$A$4:$A$15,0),ROUNDUP(MONTH(A333)/3,0))/100,0.03))</f>
        <v>0.07</v>
      </c>
      <c r="C333" s="25" t="n">
        <f aca="false">MAX(0,Penalty!$B$4-SUMIFS(Penalty!$C$10:$C$12,Penalty!$B$10:$B$12,"&lt;"&amp;A333))</f>
        <v>12000</v>
      </c>
      <c r="D333" s="25" t="n">
        <f aca="false">IF(A333&lt;=Penalty!$B$8,C333+F332+IF(A333&gt;Penalty!$B$19,Penalty!$I$5,0)+G332,0)</f>
        <v>0</v>
      </c>
      <c r="E333" s="26" t="n">
        <f aca="false">D333*B333/365</f>
        <v>0</v>
      </c>
      <c r="F333" s="25" t="n">
        <f aca="false">F332+E333*(1-IF(D333&gt;0,(IF(A333&gt;Penalty!$B$19,Penalty!$I$5,0)+G332)/D333,0))</f>
        <v>345.789278153858</v>
      </c>
      <c r="G333" s="25" t="n">
        <f aca="false">G332+E333*IF(D333&gt;0,(IF(A333&gt;Penalty!$B$19,Penalty!$I$5,0)+G332)/D333,0)</f>
        <v>46.6815525507708</v>
      </c>
    </row>
    <row r="334" customFormat="false" ht="15" hidden="false" customHeight="false" outlineLevel="0" collapsed="false">
      <c r="A334" s="23" t="n">
        <f aca="false">Penalty!$B$5+330</f>
        <v>46457</v>
      </c>
      <c r="B334" s="24" t="n">
        <f aca="false">IF(YEAR(A334)&gt;2026,Penalty!$B$16/100,IFERROR(INDEX(Rates!$B$4:$E$15,MATCH(YEAR(A334),Rates!$A$4:$A$15,0),ROUNDUP(MONTH(A334)/3,0))/100,0.03))</f>
        <v>0.07</v>
      </c>
      <c r="C334" s="25" t="n">
        <f aca="false">MAX(0,Penalty!$B$4-SUMIFS(Penalty!$C$10:$C$12,Penalty!$B$10:$B$12,"&lt;"&amp;A334))</f>
        <v>12000</v>
      </c>
      <c r="D334" s="25" t="n">
        <f aca="false">IF(A334&lt;=Penalty!$B$8,C334+F333+IF(A334&gt;Penalty!$B$19,Penalty!$I$5,0)+G333,0)</f>
        <v>0</v>
      </c>
      <c r="E334" s="26" t="n">
        <f aca="false">D334*B334/365</f>
        <v>0</v>
      </c>
      <c r="F334" s="25" t="n">
        <f aca="false">F333+E334*(1-IF(D334&gt;0,(IF(A334&gt;Penalty!$B$19,Penalty!$I$5,0)+G333)/D334,0))</f>
        <v>345.789278153858</v>
      </c>
      <c r="G334" s="25" t="n">
        <f aca="false">G333+E334*IF(D334&gt;0,(IF(A334&gt;Penalty!$B$19,Penalty!$I$5,0)+G333)/D334,0)</f>
        <v>46.6815525507708</v>
      </c>
    </row>
    <row r="335" customFormat="false" ht="15" hidden="false" customHeight="false" outlineLevel="0" collapsed="false">
      <c r="A335" s="23" t="n">
        <f aca="false">Penalty!$B$5+331</f>
        <v>46458</v>
      </c>
      <c r="B335" s="24" t="n">
        <f aca="false">IF(YEAR(A335)&gt;2026,Penalty!$B$16/100,IFERROR(INDEX(Rates!$B$4:$E$15,MATCH(YEAR(A335),Rates!$A$4:$A$15,0),ROUNDUP(MONTH(A335)/3,0))/100,0.03))</f>
        <v>0.07</v>
      </c>
      <c r="C335" s="25" t="n">
        <f aca="false">MAX(0,Penalty!$B$4-SUMIFS(Penalty!$C$10:$C$12,Penalty!$B$10:$B$12,"&lt;"&amp;A335))</f>
        <v>12000</v>
      </c>
      <c r="D335" s="25" t="n">
        <f aca="false">IF(A335&lt;=Penalty!$B$8,C335+F334+IF(A335&gt;Penalty!$B$19,Penalty!$I$5,0)+G334,0)</f>
        <v>0</v>
      </c>
      <c r="E335" s="26" t="n">
        <f aca="false">D335*B335/365</f>
        <v>0</v>
      </c>
      <c r="F335" s="25" t="n">
        <f aca="false">F334+E335*(1-IF(D335&gt;0,(IF(A335&gt;Penalty!$B$19,Penalty!$I$5,0)+G334)/D335,0))</f>
        <v>345.789278153858</v>
      </c>
      <c r="G335" s="25" t="n">
        <f aca="false">G334+E335*IF(D335&gt;0,(IF(A335&gt;Penalty!$B$19,Penalty!$I$5,0)+G334)/D335,0)</f>
        <v>46.6815525507708</v>
      </c>
    </row>
    <row r="336" customFormat="false" ht="15" hidden="false" customHeight="false" outlineLevel="0" collapsed="false">
      <c r="A336" s="23" t="n">
        <f aca="false">Penalty!$B$5+332</f>
        <v>46459</v>
      </c>
      <c r="B336" s="24" t="n">
        <f aca="false">IF(YEAR(A336)&gt;2026,Penalty!$B$16/100,IFERROR(INDEX(Rates!$B$4:$E$15,MATCH(YEAR(A336),Rates!$A$4:$A$15,0),ROUNDUP(MONTH(A336)/3,0))/100,0.03))</f>
        <v>0.07</v>
      </c>
      <c r="C336" s="25" t="n">
        <f aca="false">MAX(0,Penalty!$B$4-SUMIFS(Penalty!$C$10:$C$12,Penalty!$B$10:$B$12,"&lt;"&amp;A336))</f>
        <v>12000</v>
      </c>
      <c r="D336" s="25" t="n">
        <f aca="false">IF(A336&lt;=Penalty!$B$8,C336+F335+IF(A336&gt;Penalty!$B$19,Penalty!$I$5,0)+G335,0)</f>
        <v>0</v>
      </c>
      <c r="E336" s="26" t="n">
        <f aca="false">D336*B336/365</f>
        <v>0</v>
      </c>
      <c r="F336" s="25" t="n">
        <f aca="false">F335+E336*(1-IF(D336&gt;0,(IF(A336&gt;Penalty!$B$19,Penalty!$I$5,0)+G335)/D336,0))</f>
        <v>345.789278153858</v>
      </c>
      <c r="G336" s="25" t="n">
        <f aca="false">G335+E336*IF(D336&gt;0,(IF(A336&gt;Penalty!$B$19,Penalty!$I$5,0)+G335)/D336,0)</f>
        <v>46.6815525507708</v>
      </c>
    </row>
    <row r="337" customFormat="false" ht="15" hidden="false" customHeight="false" outlineLevel="0" collapsed="false">
      <c r="A337" s="23" t="n">
        <f aca="false">Penalty!$B$5+333</f>
        <v>46460</v>
      </c>
      <c r="B337" s="24" t="n">
        <f aca="false">IF(YEAR(A337)&gt;2026,Penalty!$B$16/100,IFERROR(INDEX(Rates!$B$4:$E$15,MATCH(YEAR(A337),Rates!$A$4:$A$15,0),ROUNDUP(MONTH(A337)/3,0))/100,0.03))</f>
        <v>0.07</v>
      </c>
      <c r="C337" s="25" t="n">
        <f aca="false">MAX(0,Penalty!$B$4-SUMIFS(Penalty!$C$10:$C$12,Penalty!$B$10:$B$12,"&lt;"&amp;A337))</f>
        <v>12000</v>
      </c>
      <c r="D337" s="25" t="n">
        <f aca="false">IF(A337&lt;=Penalty!$B$8,C337+F336+IF(A337&gt;Penalty!$B$19,Penalty!$I$5,0)+G336,0)</f>
        <v>0</v>
      </c>
      <c r="E337" s="26" t="n">
        <f aca="false">D337*B337/365</f>
        <v>0</v>
      </c>
      <c r="F337" s="25" t="n">
        <f aca="false">F336+E337*(1-IF(D337&gt;0,(IF(A337&gt;Penalty!$B$19,Penalty!$I$5,0)+G336)/D337,0))</f>
        <v>345.789278153858</v>
      </c>
      <c r="G337" s="25" t="n">
        <f aca="false">G336+E337*IF(D337&gt;0,(IF(A337&gt;Penalty!$B$19,Penalty!$I$5,0)+G336)/D337,0)</f>
        <v>46.6815525507708</v>
      </c>
    </row>
    <row r="338" customFormat="false" ht="15" hidden="false" customHeight="false" outlineLevel="0" collapsed="false">
      <c r="A338" s="23" t="n">
        <f aca="false">Penalty!$B$5+334</f>
        <v>46461</v>
      </c>
      <c r="B338" s="24" t="n">
        <f aca="false">IF(YEAR(A338)&gt;2026,Penalty!$B$16/100,IFERROR(INDEX(Rates!$B$4:$E$15,MATCH(YEAR(A338),Rates!$A$4:$A$15,0),ROUNDUP(MONTH(A338)/3,0))/100,0.03))</f>
        <v>0.07</v>
      </c>
      <c r="C338" s="25" t="n">
        <f aca="false">MAX(0,Penalty!$B$4-SUMIFS(Penalty!$C$10:$C$12,Penalty!$B$10:$B$12,"&lt;"&amp;A338))</f>
        <v>12000</v>
      </c>
      <c r="D338" s="25" t="n">
        <f aca="false">IF(A338&lt;=Penalty!$B$8,C338+F337+IF(A338&gt;Penalty!$B$19,Penalty!$I$5,0)+G337,0)</f>
        <v>0</v>
      </c>
      <c r="E338" s="26" t="n">
        <f aca="false">D338*B338/365</f>
        <v>0</v>
      </c>
      <c r="F338" s="25" t="n">
        <f aca="false">F337+E338*(1-IF(D338&gt;0,(IF(A338&gt;Penalty!$B$19,Penalty!$I$5,0)+G337)/D338,0))</f>
        <v>345.789278153858</v>
      </c>
      <c r="G338" s="25" t="n">
        <f aca="false">G337+E338*IF(D338&gt;0,(IF(A338&gt;Penalty!$B$19,Penalty!$I$5,0)+G337)/D338,0)</f>
        <v>46.6815525507708</v>
      </c>
    </row>
    <row r="339" customFormat="false" ht="15" hidden="false" customHeight="false" outlineLevel="0" collapsed="false">
      <c r="A339" s="23" t="n">
        <f aca="false">Penalty!$B$5+335</f>
        <v>46462</v>
      </c>
      <c r="B339" s="24" t="n">
        <f aca="false">IF(YEAR(A339)&gt;2026,Penalty!$B$16/100,IFERROR(INDEX(Rates!$B$4:$E$15,MATCH(YEAR(A339),Rates!$A$4:$A$15,0),ROUNDUP(MONTH(A339)/3,0))/100,0.03))</f>
        <v>0.07</v>
      </c>
      <c r="C339" s="25" t="n">
        <f aca="false">MAX(0,Penalty!$B$4-SUMIFS(Penalty!$C$10:$C$12,Penalty!$B$10:$B$12,"&lt;"&amp;A339))</f>
        <v>12000</v>
      </c>
      <c r="D339" s="25" t="n">
        <f aca="false">IF(A339&lt;=Penalty!$B$8,C339+F338+IF(A339&gt;Penalty!$B$19,Penalty!$I$5,0)+G338,0)</f>
        <v>0</v>
      </c>
      <c r="E339" s="26" t="n">
        <f aca="false">D339*B339/365</f>
        <v>0</v>
      </c>
      <c r="F339" s="25" t="n">
        <f aca="false">F338+E339*(1-IF(D339&gt;0,(IF(A339&gt;Penalty!$B$19,Penalty!$I$5,0)+G338)/D339,0))</f>
        <v>345.789278153858</v>
      </c>
      <c r="G339" s="25" t="n">
        <f aca="false">G338+E339*IF(D339&gt;0,(IF(A339&gt;Penalty!$B$19,Penalty!$I$5,0)+G338)/D339,0)</f>
        <v>46.6815525507708</v>
      </c>
    </row>
    <row r="340" customFormat="false" ht="15" hidden="false" customHeight="false" outlineLevel="0" collapsed="false">
      <c r="A340" s="23" t="n">
        <f aca="false">Penalty!$B$5+336</f>
        <v>46463</v>
      </c>
      <c r="B340" s="24" t="n">
        <f aca="false">IF(YEAR(A340)&gt;2026,Penalty!$B$16/100,IFERROR(INDEX(Rates!$B$4:$E$15,MATCH(YEAR(A340),Rates!$A$4:$A$15,0),ROUNDUP(MONTH(A340)/3,0))/100,0.03))</f>
        <v>0.07</v>
      </c>
      <c r="C340" s="25" t="n">
        <f aca="false">MAX(0,Penalty!$B$4-SUMIFS(Penalty!$C$10:$C$12,Penalty!$B$10:$B$12,"&lt;"&amp;A340))</f>
        <v>12000</v>
      </c>
      <c r="D340" s="25" t="n">
        <f aca="false">IF(A340&lt;=Penalty!$B$8,C340+F339+IF(A340&gt;Penalty!$B$19,Penalty!$I$5,0)+G339,0)</f>
        <v>0</v>
      </c>
      <c r="E340" s="26" t="n">
        <f aca="false">D340*B340/365</f>
        <v>0</v>
      </c>
      <c r="F340" s="25" t="n">
        <f aca="false">F339+E340*(1-IF(D340&gt;0,(IF(A340&gt;Penalty!$B$19,Penalty!$I$5,0)+G339)/D340,0))</f>
        <v>345.789278153858</v>
      </c>
      <c r="G340" s="25" t="n">
        <f aca="false">G339+E340*IF(D340&gt;0,(IF(A340&gt;Penalty!$B$19,Penalty!$I$5,0)+G339)/D340,0)</f>
        <v>46.6815525507708</v>
      </c>
    </row>
    <row r="341" customFormat="false" ht="15" hidden="false" customHeight="false" outlineLevel="0" collapsed="false">
      <c r="A341" s="23" t="n">
        <f aca="false">Penalty!$B$5+337</f>
        <v>46464</v>
      </c>
      <c r="B341" s="24" t="n">
        <f aca="false">IF(YEAR(A341)&gt;2026,Penalty!$B$16/100,IFERROR(INDEX(Rates!$B$4:$E$15,MATCH(YEAR(A341),Rates!$A$4:$A$15,0),ROUNDUP(MONTH(A341)/3,0))/100,0.03))</f>
        <v>0.07</v>
      </c>
      <c r="C341" s="25" t="n">
        <f aca="false">MAX(0,Penalty!$B$4-SUMIFS(Penalty!$C$10:$C$12,Penalty!$B$10:$B$12,"&lt;"&amp;A341))</f>
        <v>12000</v>
      </c>
      <c r="D341" s="25" t="n">
        <f aca="false">IF(A341&lt;=Penalty!$B$8,C341+F340+IF(A341&gt;Penalty!$B$19,Penalty!$I$5,0)+G340,0)</f>
        <v>0</v>
      </c>
      <c r="E341" s="26" t="n">
        <f aca="false">D341*B341/365</f>
        <v>0</v>
      </c>
      <c r="F341" s="25" t="n">
        <f aca="false">F340+E341*(1-IF(D341&gt;0,(IF(A341&gt;Penalty!$B$19,Penalty!$I$5,0)+G340)/D341,0))</f>
        <v>345.789278153858</v>
      </c>
      <c r="G341" s="25" t="n">
        <f aca="false">G340+E341*IF(D341&gt;0,(IF(A341&gt;Penalty!$B$19,Penalty!$I$5,0)+G340)/D341,0)</f>
        <v>46.6815525507708</v>
      </c>
    </row>
    <row r="342" customFormat="false" ht="15" hidden="false" customHeight="false" outlineLevel="0" collapsed="false">
      <c r="A342" s="23" t="n">
        <f aca="false">Penalty!$B$5+338</f>
        <v>46465</v>
      </c>
      <c r="B342" s="24" t="n">
        <f aca="false">IF(YEAR(A342)&gt;2026,Penalty!$B$16/100,IFERROR(INDEX(Rates!$B$4:$E$15,MATCH(YEAR(A342),Rates!$A$4:$A$15,0),ROUNDUP(MONTH(A342)/3,0))/100,0.03))</f>
        <v>0.07</v>
      </c>
      <c r="C342" s="25" t="n">
        <f aca="false">MAX(0,Penalty!$B$4-SUMIFS(Penalty!$C$10:$C$12,Penalty!$B$10:$B$12,"&lt;"&amp;A342))</f>
        <v>12000</v>
      </c>
      <c r="D342" s="25" t="n">
        <f aca="false">IF(A342&lt;=Penalty!$B$8,C342+F341+IF(A342&gt;Penalty!$B$19,Penalty!$I$5,0)+G341,0)</f>
        <v>0</v>
      </c>
      <c r="E342" s="26" t="n">
        <f aca="false">D342*B342/365</f>
        <v>0</v>
      </c>
      <c r="F342" s="25" t="n">
        <f aca="false">F341+E342*(1-IF(D342&gt;0,(IF(A342&gt;Penalty!$B$19,Penalty!$I$5,0)+G341)/D342,0))</f>
        <v>345.789278153858</v>
      </c>
      <c r="G342" s="25" t="n">
        <f aca="false">G341+E342*IF(D342&gt;0,(IF(A342&gt;Penalty!$B$19,Penalty!$I$5,0)+G341)/D342,0)</f>
        <v>46.6815525507708</v>
      </c>
    </row>
    <row r="343" customFormat="false" ht="15" hidden="false" customHeight="false" outlineLevel="0" collapsed="false">
      <c r="A343" s="23" t="n">
        <f aca="false">Penalty!$B$5+339</f>
        <v>46466</v>
      </c>
      <c r="B343" s="24" t="n">
        <f aca="false">IF(YEAR(A343)&gt;2026,Penalty!$B$16/100,IFERROR(INDEX(Rates!$B$4:$E$15,MATCH(YEAR(A343),Rates!$A$4:$A$15,0),ROUNDUP(MONTH(A343)/3,0))/100,0.03))</f>
        <v>0.07</v>
      </c>
      <c r="C343" s="25" t="n">
        <f aca="false">MAX(0,Penalty!$B$4-SUMIFS(Penalty!$C$10:$C$12,Penalty!$B$10:$B$12,"&lt;"&amp;A343))</f>
        <v>12000</v>
      </c>
      <c r="D343" s="25" t="n">
        <f aca="false">IF(A343&lt;=Penalty!$B$8,C343+F342+IF(A343&gt;Penalty!$B$19,Penalty!$I$5,0)+G342,0)</f>
        <v>0</v>
      </c>
      <c r="E343" s="26" t="n">
        <f aca="false">D343*B343/365</f>
        <v>0</v>
      </c>
      <c r="F343" s="25" t="n">
        <f aca="false">F342+E343*(1-IF(D343&gt;0,(IF(A343&gt;Penalty!$B$19,Penalty!$I$5,0)+G342)/D343,0))</f>
        <v>345.789278153858</v>
      </c>
      <c r="G343" s="25" t="n">
        <f aca="false">G342+E343*IF(D343&gt;0,(IF(A343&gt;Penalty!$B$19,Penalty!$I$5,0)+G342)/D343,0)</f>
        <v>46.6815525507708</v>
      </c>
    </row>
    <row r="344" customFormat="false" ht="15" hidden="false" customHeight="false" outlineLevel="0" collapsed="false">
      <c r="A344" s="23" t="n">
        <f aca="false">Penalty!$B$5+340</f>
        <v>46467</v>
      </c>
      <c r="B344" s="24" t="n">
        <f aca="false">IF(YEAR(A344)&gt;2026,Penalty!$B$16/100,IFERROR(INDEX(Rates!$B$4:$E$15,MATCH(YEAR(A344),Rates!$A$4:$A$15,0),ROUNDUP(MONTH(A344)/3,0))/100,0.03))</f>
        <v>0.07</v>
      </c>
      <c r="C344" s="25" t="n">
        <f aca="false">MAX(0,Penalty!$B$4-SUMIFS(Penalty!$C$10:$C$12,Penalty!$B$10:$B$12,"&lt;"&amp;A344))</f>
        <v>12000</v>
      </c>
      <c r="D344" s="25" t="n">
        <f aca="false">IF(A344&lt;=Penalty!$B$8,C344+F343+IF(A344&gt;Penalty!$B$19,Penalty!$I$5,0)+G343,0)</f>
        <v>0</v>
      </c>
      <c r="E344" s="26" t="n">
        <f aca="false">D344*B344/365</f>
        <v>0</v>
      </c>
      <c r="F344" s="25" t="n">
        <f aca="false">F343+E344*(1-IF(D344&gt;0,(IF(A344&gt;Penalty!$B$19,Penalty!$I$5,0)+G343)/D344,0))</f>
        <v>345.789278153858</v>
      </c>
      <c r="G344" s="25" t="n">
        <f aca="false">G343+E344*IF(D344&gt;0,(IF(A344&gt;Penalty!$B$19,Penalty!$I$5,0)+G343)/D344,0)</f>
        <v>46.6815525507708</v>
      </c>
    </row>
    <row r="345" customFormat="false" ht="15" hidden="false" customHeight="false" outlineLevel="0" collapsed="false">
      <c r="A345" s="23" t="n">
        <f aca="false">Penalty!$B$5+341</f>
        <v>46468</v>
      </c>
      <c r="B345" s="24" t="n">
        <f aca="false">IF(YEAR(A345)&gt;2026,Penalty!$B$16/100,IFERROR(INDEX(Rates!$B$4:$E$15,MATCH(YEAR(A345),Rates!$A$4:$A$15,0),ROUNDUP(MONTH(A345)/3,0))/100,0.03))</f>
        <v>0.07</v>
      </c>
      <c r="C345" s="25" t="n">
        <f aca="false">MAX(0,Penalty!$B$4-SUMIFS(Penalty!$C$10:$C$12,Penalty!$B$10:$B$12,"&lt;"&amp;A345))</f>
        <v>12000</v>
      </c>
      <c r="D345" s="25" t="n">
        <f aca="false">IF(A345&lt;=Penalty!$B$8,C345+F344+IF(A345&gt;Penalty!$B$19,Penalty!$I$5,0)+G344,0)</f>
        <v>0</v>
      </c>
      <c r="E345" s="26" t="n">
        <f aca="false">D345*B345/365</f>
        <v>0</v>
      </c>
      <c r="F345" s="25" t="n">
        <f aca="false">F344+E345*(1-IF(D345&gt;0,(IF(A345&gt;Penalty!$B$19,Penalty!$I$5,0)+G344)/D345,0))</f>
        <v>345.789278153858</v>
      </c>
      <c r="G345" s="25" t="n">
        <f aca="false">G344+E345*IF(D345&gt;0,(IF(A345&gt;Penalty!$B$19,Penalty!$I$5,0)+G344)/D345,0)</f>
        <v>46.6815525507708</v>
      </c>
    </row>
    <row r="346" customFormat="false" ht="15" hidden="false" customHeight="false" outlineLevel="0" collapsed="false">
      <c r="A346" s="23" t="n">
        <f aca="false">Penalty!$B$5+342</f>
        <v>46469</v>
      </c>
      <c r="B346" s="24" t="n">
        <f aca="false">IF(YEAR(A346)&gt;2026,Penalty!$B$16/100,IFERROR(INDEX(Rates!$B$4:$E$15,MATCH(YEAR(A346),Rates!$A$4:$A$15,0),ROUNDUP(MONTH(A346)/3,0))/100,0.03))</f>
        <v>0.07</v>
      </c>
      <c r="C346" s="25" t="n">
        <f aca="false">MAX(0,Penalty!$B$4-SUMIFS(Penalty!$C$10:$C$12,Penalty!$B$10:$B$12,"&lt;"&amp;A346))</f>
        <v>12000</v>
      </c>
      <c r="D346" s="25" t="n">
        <f aca="false">IF(A346&lt;=Penalty!$B$8,C346+F345+IF(A346&gt;Penalty!$B$19,Penalty!$I$5,0)+G345,0)</f>
        <v>0</v>
      </c>
      <c r="E346" s="26" t="n">
        <f aca="false">D346*B346/365</f>
        <v>0</v>
      </c>
      <c r="F346" s="25" t="n">
        <f aca="false">F345+E346*(1-IF(D346&gt;0,(IF(A346&gt;Penalty!$B$19,Penalty!$I$5,0)+G345)/D346,0))</f>
        <v>345.789278153858</v>
      </c>
      <c r="G346" s="25" t="n">
        <f aca="false">G345+E346*IF(D346&gt;0,(IF(A346&gt;Penalty!$B$19,Penalty!$I$5,0)+G345)/D346,0)</f>
        <v>46.6815525507708</v>
      </c>
    </row>
    <row r="347" customFormat="false" ht="15" hidden="false" customHeight="false" outlineLevel="0" collapsed="false">
      <c r="A347" s="23" t="n">
        <f aca="false">Penalty!$B$5+343</f>
        <v>46470</v>
      </c>
      <c r="B347" s="24" t="n">
        <f aca="false">IF(YEAR(A347)&gt;2026,Penalty!$B$16/100,IFERROR(INDEX(Rates!$B$4:$E$15,MATCH(YEAR(A347),Rates!$A$4:$A$15,0),ROUNDUP(MONTH(A347)/3,0))/100,0.03))</f>
        <v>0.07</v>
      </c>
      <c r="C347" s="25" t="n">
        <f aca="false">MAX(0,Penalty!$B$4-SUMIFS(Penalty!$C$10:$C$12,Penalty!$B$10:$B$12,"&lt;"&amp;A347))</f>
        <v>12000</v>
      </c>
      <c r="D347" s="25" t="n">
        <f aca="false">IF(A347&lt;=Penalty!$B$8,C347+F346+IF(A347&gt;Penalty!$B$19,Penalty!$I$5,0)+G346,0)</f>
        <v>0</v>
      </c>
      <c r="E347" s="26" t="n">
        <f aca="false">D347*B347/365</f>
        <v>0</v>
      </c>
      <c r="F347" s="25" t="n">
        <f aca="false">F346+E347*(1-IF(D347&gt;0,(IF(A347&gt;Penalty!$B$19,Penalty!$I$5,0)+G346)/D347,0))</f>
        <v>345.789278153858</v>
      </c>
      <c r="G347" s="25" t="n">
        <f aca="false">G346+E347*IF(D347&gt;0,(IF(A347&gt;Penalty!$B$19,Penalty!$I$5,0)+G346)/D347,0)</f>
        <v>46.6815525507708</v>
      </c>
    </row>
    <row r="348" customFormat="false" ht="15" hidden="false" customHeight="false" outlineLevel="0" collapsed="false">
      <c r="A348" s="23" t="n">
        <f aca="false">Penalty!$B$5+344</f>
        <v>46471</v>
      </c>
      <c r="B348" s="24" t="n">
        <f aca="false">IF(YEAR(A348)&gt;2026,Penalty!$B$16/100,IFERROR(INDEX(Rates!$B$4:$E$15,MATCH(YEAR(A348),Rates!$A$4:$A$15,0),ROUNDUP(MONTH(A348)/3,0))/100,0.03))</f>
        <v>0.07</v>
      </c>
      <c r="C348" s="25" t="n">
        <f aca="false">MAX(0,Penalty!$B$4-SUMIFS(Penalty!$C$10:$C$12,Penalty!$B$10:$B$12,"&lt;"&amp;A348))</f>
        <v>12000</v>
      </c>
      <c r="D348" s="25" t="n">
        <f aca="false">IF(A348&lt;=Penalty!$B$8,C348+F347+IF(A348&gt;Penalty!$B$19,Penalty!$I$5,0)+G347,0)</f>
        <v>0</v>
      </c>
      <c r="E348" s="26" t="n">
        <f aca="false">D348*B348/365</f>
        <v>0</v>
      </c>
      <c r="F348" s="25" t="n">
        <f aca="false">F347+E348*(1-IF(D348&gt;0,(IF(A348&gt;Penalty!$B$19,Penalty!$I$5,0)+G347)/D348,0))</f>
        <v>345.789278153858</v>
      </c>
      <c r="G348" s="25" t="n">
        <f aca="false">G347+E348*IF(D348&gt;0,(IF(A348&gt;Penalty!$B$19,Penalty!$I$5,0)+G347)/D348,0)</f>
        <v>46.6815525507708</v>
      </c>
    </row>
    <row r="349" customFormat="false" ht="15" hidden="false" customHeight="false" outlineLevel="0" collapsed="false">
      <c r="A349" s="23" t="n">
        <f aca="false">Penalty!$B$5+345</f>
        <v>46472</v>
      </c>
      <c r="B349" s="24" t="n">
        <f aca="false">IF(YEAR(A349)&gt;2026,Penalty!$B$16/100,IFERROR(INDEX(Rates!$B$4:$E$15,MATCH(YEAR(A349),Rates!$A$4:$A$15,0),ROUNDUP(MONTH(A349)/3,0))/100,0.03))</f>
        <v>0.07</v>
      </c>
      <c r="C349" s="25" t="n">
        <f aca="false">MAX(0,Penalty!$B$4-SUMIFS(Penalty!$C$10:$C$12,Penalty!$B$10:$B$12,"&lt;"&amp;A349))</f>
        <v>12000</v>
      </c>
      <c r="D349" s="25" t="n">
        <f aca="false">IF(A349&lt;=Penalty!$B$8,C349+F348+IF(A349&gt;Penalty!$B$19,Penalty!$I$5,0)+G348,0)</f>
        <v>0</v>
      </c>
      <c r="E349" s="26" t="n">
        <f aca="false">D349*B349/365</f>
        <v>0</v>
      </c>
      <c r="F349" s="25" t="n">
        <f aca="false">F348+E349*(1-IF(D349&gt;0,(IF(A349&gt;Penalty!$B$19,Penalty!$I$5,0)+G348)/D349,0))</f>
        <v>345.789278153858</v>
      </c>
      <c r="G349" s="25" t="n">
        <f aca="false">G348+E349*IF(D349&gt;0,(IF(A349&gt;Penalty!$B$19,Penalty!$I$5,0)+G348)/D349,0)</f>
        <v>46.6815525507708</v>
      </c>
    </row>
    <row r="350" customFormat="false" ht="15" hidden="false" customHeight="false" outlineLevel="0" collapsed="false">
      <c r="A350" s="23" t="n">
        <f aca="false">Penalty!$B$5+346</f>
        <v>46473</v>
      </c>
      <c r="B350" s="24" t="n">
        <f aca="false">IF(YEAR(A350)&gt;2026,Penalty!$B$16/100,IFERROR(INDEX(Rates!$B$4:$E$15,MATCH(YEAR(A350),Rates!$A$4:$A$15,0),ROUNDUP(MONTH(A350)/3,0))/100,0.03))</f>
        <v>0.07</v>
      </c>
      <c r="C350" s="25" t="n">
        <f aca="false">MAX(0,Penalty!$B$4-SUMIFS(Penalty!$C$10:$C$12,Penalty!$B$10:$B$12,"&lt;"&amp;A350))</f>
        <v>12000</v>
      </c>
      <c r="D350" s="25" t="n">
        <f aca="false">IF(A350&lt;=Penalty!$B$8,C350+F349+IF(A350&gt;Penalty!$B$19,Penalty!$I$5,0)+G349,0)</f>
        <v>0</v>
      </c>
      <c r="E350" s="26" t="n">
        <f aca="false">D350*B350/365</f>
        <v>0</v>
      </c>
      <c r="F350" s="25" t="n">
        <f aca="false">F349+E350*(1-IF(D350&gt;0,(IF(A350&gt;Penalty!$B$19,Penalty!$I$5,0)+G349)/D350,0))</f>
        <v>345.789278153858</v>
      </c>
      <c r="G350" s="25" t="n">
        <f aca="false">G349+E350*IF(D350&gt;0,(IF(A350&gt;Penalty!$B$19,Penalty!$I$5,0)+G349)/D350,0)</f>
        <v>46.6815525507708</v>
      </c>
    </row>
    <row r="351" customFormat="false" ht="15" hidden="false" customHeight="false" outlineLevel="0" collapsed="false">
      <c r="A351" s="23" t="n">
        <f aca="false">Penalty!$B$5+347</f>
        <v>46474</v>
      </c>
      <c r="B351" s="24" t="n">
        <f aca="false">IF(YEAR(A351)&gt;2026,Penalty!$B$16/100,IFERROR(INDEX(Rates!$B$4:$E$15,MATCH(YEAR(A351),Rates!$A$4:$A$15,0),ROUNDUP(MONTH(A351)/3,0))/100,0.03))</f>
        <v>0.07</v>
      </c>
      <c r="C351" s="25" t="n">
        <f aca="false">MAX(0,Penalty!$B$4-SUMIFS(Penalty!$C$10:$C$12,Penalty!$B$10:$B$12,"&lt;"&amp;A351))</f>
        <v>12000</v>
      </c>
      <c r="D351" s="25" t="n">
        <f aca="false">IF(A351&lt;=Penalty!$B$8,C351+F350+IF(A351&gt;Penalty!$B$19,Penalty!$I$5,0)+G350,0)</f>
        <v>0</v>
      </c>
      <c r="E351" s="26" t="n">
        <f aca="false">D351*B351/365</f>
        <v>0</v>
      </c>
      <c r="F351" s="25" t="n">
        <f aca="false">F350+E351*(1-IF(D351&gt;0,(IF(A351&gt;Penalty!$B$19,Penalty!$I$5,0)+G350)/D351,0))</f>
        <v>345.789278153858</v>
      </c>
      <c r="G351" s="25" t="n">
        <f aca="false">G350+E351*IF(D351&gt;0,(IF(A351&gt;Penalty!$B$19,Penalty!$I$5,0)+G350)/D351,0)</f>
        <v>46.6815525507708</v>
      </c>
    </row>
    <row r="352" customFormat="false" ht="15" hidden="false" customHeight="false" outlineLevel="0" collapsed="false">
      <c r="A352" s="23" t="n">
        <f aca="false">Penalty!$B$5+348</f>
        <v>46475</v>
      </c>
      <c r="B352" s="24" t="n">
        <f aca="false">IF(YEAR(A352)&gt;2026,Penalty!$B$16/100,IFERROR(INDEX(Rates!$B$4:$E$15,MATCH(YEAR(A352),Rates!$A$4:$A$15,0),ROUNDUP(MONTH(A352)/3,0))/100,0.03))</f>
        <v>0.07</v>
      </c>
      <c r="C352" s="25" t="n">
        <f aca="false">MAX(0,Penalty!$B$4-SUMIFS(Penalty!$C$10:$C$12,Penalty!$B$10:$B$12,"&lt;"&amp;A352))</f>
        <v>12000</v>
      </c>
      <c r="D352" s="25" t="n">
        <f aca="false">IF(A352&lt;=Penalty!$B$8,C352+F351+IF(A352&gt;Penalty!$B$19,Penalty!$I$5,0)+G351,0)</f>
        <v>0</v>
      </c>
      <c r="E352" s="26" t="n">
        <f aca="false">D352*B352/365</f>
        <v>0</v>
      </c>
      <c r="F352" s="25" t="n">
        <f aca="false">F351+E352*(1-IF(D352&gt;0,(IF(A352&gt;Penalty!$B$19,Penalty!$I$5,0)+G351)/D352,0))</f>
        <v>345.789278153858</v>
      </c>
      <c r="G352" s="25" t="n">
        <f aca="false">G351+E352*IF(D352&gt;0,(IF(A352&gt;Penalty!$B$19,Penalty!$I$5,0)+G351)/D352,0)</f>
        <v>46.6815525507708</v>
      </c>
    </row>
    <row r="353" customFormat="false" ht="15" hidden="false" customHeight="false" outlineLevel="0" collapsed="false">
      <c r="A353" s="23" t="n">
        <f aca="false">Penalty!$B$5+349</f>
        <v>46476</v>
      </c>
      <c r="B353" s="24" t="n">
        <f aca="false">IF(YEAR(A353)&gt;2026,Penalty!$B$16/100,IFERROR(INDEX(Rates!$B$4:$E$15,MATCH(YEAR(A353),Rates!$A$4:$A$15,0),ROUNDUP(MONTH(A353)/3,0))/100,0.03))</f>
        <v>0.07</v>
      </c>
      <c r="C353" s="25" t="n">
        <f aca="false">MAX(0,Penalty!$B$4-SUMIFS(Penalty!$C$10:$C$12,Penalty!$B$10:$B$12,"&lt;"&amp;A353))</f>
        <v>12000</v>
      </c>
      <c r="D353" s="25" t="n">
        <f aca="false">IF(A353&lt;=Penalty!$B$8,C353+F352+IF(A353&gt;Penalty!$B$19,Penalty!$I$5,0)+G352,0)</f>
        <v>0</v>
      </c>
      <c r="E353" s="26" t="n">
        <f aca="false">D353*B353/365</f>
        <v>0</v>
      </c>
      <c r="F353" s="25" t="n">
        <f aca="false">F352+E353*(1-IF(D353&gt;0,(IF(A353&gt;Penalty!$B$19,Penalty!$I$5,0)+G352)/D353,0))</f>
        <v>345.789278153858</v>
      </c>
      <c r="G353" s="25" t="n">
        <f aca="false">G352+E353*IF(D353&gt;0,(IF(A353&gt;Penalty!$B$19,Penalty!$I$5,0)+G352)/D353,0)</f>
        <v>46.6815525507708</v>
      </c>
    </row>
    <row r="354" customFormat="false" ht="15" hidden="false" customHeight="false" outlineLevel="0" collapsed="false">
      <c r="A354" s="23" t="n">
        <f aca="false">Penalty!$B$5+350</f>
        <v>46477</v>
      </c>
      <c r="B354" s="24" t="n">
        <f aca="false">IF(YEAR(A354)&gt;2026,Penalty!$B$16/100,IFERROR(INDEX(Rates!$B$4:$E$15,MATCH(YEAR(A354),Rates!$A$4:$A$15,0),ROUNDUP(MONTH(A354)/3,0))/100,0.03))</f>
        <v>0.07</v>
      </c>
      <c r="C354" s="25" t="n">
        <f aca="false">MAX(0,Penalty!$B$4-SUMIFS(Penalty!$C$10:$C$12,Penalty!$B$10:$B$12,"&lt;"&amp;A354))</f>
        <v>12000</v>
      </c>
      <c r="D354" s="25" t="n">
        <f aca="false">IF(A354&lt;=Penalty!$B$8,C354+F353+IF(A354&gt;Penalty!$B$19,Penalty!$I$5,0)+G353,0)</f>
        <v>0</v>
      </c>
      <c r="E354" s="26" t="n">
        <f aca="false">D354*B354/365</f>
        <v>0</v>
      </c>
      <c r="F354" s="25" t="n">
        <f aca="false">F353+E354*(1-IF(D354&gt;0,(IF(A354&gt;Penalty!$B$19,Penalty!$I$5,0)+G353)/D354,0))</f>
        <v>345.789278153858</v>
      </c>
      <c r="G354" s="25" t="n">
        <f aca="false">G353+E354*IF(D354&gt;0,(IF(A354&gt;Penalty!$B$19,Penalty!$I$5,0)+G353)/D354,0)</f>
        <v>46.6815525507708</v>
      </c>
    </row>
    <row r="355" customFormat="false" ht="15" hidden="false" customHeight="false" outlineLevel="0" collapsed="false">
      <c r="A355" s="23" t="n">
        <f aca="false">Penalty!$B$5+351</f>
        <v>46478</v>
      </c>
      <c r="B355" s="24" t="n">
        <f aca="false">IF(YEAR(A355)&gt;2026,Penalty!$B$16/100,IFERROR(INDEX(Rates!$B$4:$E$15,MATCH(YEAR(A355),Rates!$A$4:$A$15,0),ROUNDUP(MONTH(A355)/3,0))/100,0.03))</f>
        <v>0.07</v>
      </c>
      <c r="C355" s="25" t="n">
        <f aca="false">MAX(0,Penalty!$B$4-SUMIFS(Penalty!$C$10:$C$12,Penalty!$B$10:$B$12,"&lt;"&amp;A355))</f>
        <v>12000</v>
      </c>
      <c r="D355" s="25" t="n">
        <f aca="false">IF(A355&lt;=Penalty!$B$8,C355+F354+IF(A355&gt;Penalty!$B$19,Penalty!$I$5,0)+G354,0)</f>
        <v>0</v>
      </c>
      <c r="E355" s="26" t="n">
        <f aca="false">D355*B355/365</f>
        <v>0</v>
      </c>
      <c r="F355" s="25" t="n">
        <f aca="false">F354+E355*(1-IF(D355&gt;0,(IF(A355&gt;Penalty!$B$19,Penalty!$I$5,0)+G354)/D355,0))</f>
        <v>345.789278153858</v>
      </c>
      <c r="G355" s="25" t="n">
        <f aca="false">G354+E355*IF(D355&gt;0,(IF(A355&gt;Penalty!$B$19,Penalty!$I$5,0)+G354)/D355,0)</f>
        <v>46.6815525507708</v>
      </c>
    </row>
    <row r="356" customFormat="false" ht="15" hidden="false" customHeight="false" outlineLevel="0" collapsed="false">
      <c r="A356" s="23" t="n">
        <f aca="false">Penalty!$B$5+352</f>
        <v>46479</v>
      </c>
      <c r="B356" s="24" t="n">
        <f aca="false">IF(YEAR(A356)&gt;2026,Penalty!$B$16/100,IFERROR(INDEX(Rates!$B$4:$E$15,MATCH(YEAR(A356),Rates!$A$4:$A$15,0),ROUNDUP(MONTH(A356)/3,0))/100,0.03))</f>
        <v>0.07</v>
      </c>
      <c r="C356" s="25" t="n">
        <f aca="false">MAX(0,Penalty!$B$4-SUMIFS(Penalty!$C$10:$C$12,Penalty!$B$10:$B$12,"&lt;"&amp;A356))</f>
        <v>12000</v>
      </c>
      <c r="D356" s="25" t="n">
        <f aca="false">IF(A356&lt;=Penalty!$B$8,C356+F355+IF(A356&gt;Penalty!$B$19,Penalty!$I$5,0)+G355,0)</f>
        <v>0</v>
      </c>
      <c r="E356" s="26" t="n">
        <f aca="false">D356*B356/365</f>
        <v>0</v>
      </c>
      <c r="F356" s="25" t="n">
        <f aca="false">F355+E356*(1-IF(D356&gt;0,(IF(A356&gt;Penalty!$B$19,Penalty!$I$5,0)+G355)/D356,0))</f>
        <v>345.789278153858</v>
      </c>
      <c r="G356" s="25" t="n">
        <f aca="false">G355+E356*IF(D356&gt;0,(IF(A356&gt;Penalty!$B$19,Penalty!$I$5,0)+G355)/D356,0)</f>
        <v>46.6815525507708</v>
      </c>
    </row>
    <row r="357" customFormat="false" ht="15" hidden="false" customHeight="false" outlineLevel="0" collapsed="false">
      <c r="A357" s="23" t="n">
        <f aca="false">Penalty!$B$5+353</f>
        <v>46480</v>
      </c>
      <c r="B357" s="24" t="n">
        <f aca="false">IF(YEAR(A357)&gt;2026,Penalty!$B$16/100,IFERROR(INDEX(Rates!$B$4:$E$15,MATCH(YEAR(A357),Rates!$A$4:$A$15,0),ROUNDUP(MONTH(A357)/3,0))/100,0.03))</f>
        <v>0.07</v>
      </c>
      <c r="C357" s="25" t="n">
        <f aca="false">MAX(0,Penalty!$B$4-SUMIFS(Penalty!$C$10:$C$12,Penalty!$B$10:$B$12,"&lt;"&amp;A357))</f>
        <v>12000</v>
      </c>
      <c r="D357" s="25" t="n">
        <f aca="false">IF(A357&lt;=Penalty!$B$8,C357+F356+IF(A357&gt;Penalty!$B$19,Penalty!$I$5,0)+G356,0)</f>
        <v>0</v>
      </c>
      <c r="E357" s="26" t="n">
        <f aca="false">D357*B357/365</f>
        <v>0</v>
      </c>
      <c r="F357" s="25" t="n">
        <f aca="false">F356+E357*(1-IF(D357&gt;0,(IF(A357&gt;Penalty!$B$19,Penalty!$I$5,0)+G356)/D357,0))</f>
        <v>345.789278153858</v>
      </c>
      <c r="G357" s="25" t="n">
        <f aca="false">G356+E357*IF(D357&gt;0,(IF(A357&gt;Penalty!$B$19,Penalty!$I$5,0)+G356)/D357,0)</f>
        <v>46.6815525507708</v>
      </c>
    </row>
    <row r="358" customFormat="false" ht="15" hidden="false" customHeight="false" outlineLevel="0" collapsed="false">
      <c r="A358" s="23" t="n">
        <f aca="false">Penalty!$B$5+354</f>
        <v>46481</v>
      </c>
      <c r="B358" s="24" t="n">
        <f aca="false">IF(YEAR(A358)&gt;2026,Penalty!$B$16/100,IFERROR(INDEX(Rates!$B$4:$E$15,MATCH(YEAR(A358),Rates!$A$4:$A$15,0),ROUNDUP(MONTH(A358)/3,0))/100,0.03))</f>
        <v>0.07</v>
      </c>
      <c r="C358" s="25" t="n">
        <f aca="false">MAX(0,Penalty!$B$4-SUMIFS(Penalty!$C$10:$C$12,Penalty!$B$10:$B$12,"&lt;"&amp;A358))</f>
        <v>12000</v>
      </c>
      <c r="D358" s="25" t="n">
        <f aca="false">IF(A358&lt;=Penalty!$B$8,C358+F357+IF(A358&gt;Penalty!$B$19,Penalty!$I$5,0)+G357,0)</f>
        <v>0</v>
      </c>
      <c r="E358" s="26" t="n">
        <f aca="false">D358*B358/365</f>
        <v>0</v>
      </c>
      <c r="F358" s="25" t="n">
        <f aca="false">F357+E358*(1-IF(D358&gt;0,(IF(A358&gt;Penalty!$B$19,Penalty!$I$5,0)+G357)/D358,0))</f>
        <v>345.789278153858</v>
      </c>
      <c r="G358" s="25" t="n">
        <f aca="false">G357+E358*IF(D358&gt;0,(IF(A358&gt;Penalty!$B$19,Penalty!$I$5,0)+G357)/D358,0)</f>
        <v>46.6815525507708</v>
      </c>
    </row>
    <row r="359" customFormat="false" ht="15" hidden="false" customHeight="false" outlineLevel="0" collapsed="false">
      <c r="A359" s="23" t="n">
        <f aca="false">Penalty!$B$5+355</f>
        <v>46482</v>
      </c>
      <c r="B359" s="24" t="n">
        <f aca="false">IF(YEAR(A359)&gt;2026,Penalty!$B$16/100,IFERROR(INDEX(Rates!$B$4:$E$15,MATCH(YEAR(A359),Rates!$A$4:$A$15,0),ROUNDUP(MONTH(A359)/3,0))/100,0.03))</f>
        <v>0.07</v>
      </c>
      <c r="C359" s="25" t="n">
        <f aca="false">MAX(0,Penalty!$B$4-SUMIFS(Penalty!$C$10:$C$12,Penalty!$B$10:$B$12,"&lt;"&amp;A359))</f>
        <v>12000</v>
      </c>
      <c r="D359" s="25" t="n">
        <f aca="false">IF(A359&lt;=Penalty!$B$8,C359+F358+IF(A359&gt;Penalty!$B$19,Penalty!$I$5,0)+G358,0)</f>
        <v>0</v>
      </c>
      <c r="E359" s="26" t="n">
        <f aca="false">D359*B359/365</f>
        <v>0</v>
      </c>
      <c r="F359" s="25" t="n">
        <f aca="false">F358+E359*(1-IF(D359&gt;0,(IF(A359&gt;Penalty!$B$19,Penalty!$I$5,0)+G358)/D359,0))</f>
        <v>345.789278153858</v>
      </c>
      <c r="G359" s="25" t="n">
        <f aca="false">G358+E359*IF(D359&gt;0,(IF(A359&gt;Penalty!$B$19,Penalty!$I$5,0)+G358)/D359,0)</f>
        <v>46.6815525507708</v>
      </c>
    </row>
    <row r="360" customFormat="false" ht="15" hidden="false" customHeight="false" outlineLevel="0" collapsed="false">
      <c r="A360" s="23" t="n">
        <f aca="false">Penalty!$B$5+356</f>
        <v>46483</v>
      </c>
      <c r="B360" s="24" t="n">
        <f aca="false">IF(YEAR(A360)&gt;2026,Penalty!$B$16/100,IFERROR(INDEX(Rates!$B$4:$E$15,MATCH(YEAR(A360),Rates!$A$4:$A$15,0),ROUNDUP(MONTH(A360)/3,0))/100,0.03))</f>
        <v>0.07</v>
      </c>
      <c r="C360" s="25" t="n">
        <f aca="false">MAX(0,Penalty!$B$4-SUMIFS(Penalty!$C$10:$C$12,Penalty!$B$10:$B$12,"&lt;"&amp;A360))</f>
        <v>12000</v>
      </c>
      <c r="D360" s="25" t="n">
        <f aca="false">IF(A360&lt;=Penalty!$B$8,C360+F359+IF(A360&gt;Penalty!$B$19,Penalty!$I$5,0)+G359,0)</f>
        <v>0</v>
      </c>
      <c r="E360" s="26" t="n">
        <f aca="false">D360*B360/365</f>
        <v>0</v>
      </c>
      <c r="F360" s="25" t="n">
        <f aca="false">F359+E360*(1-IF(D360&gt;0,(IF(A360&gt;Penalty!$B$19,Penalty!$I$5,0)+G359)/D360,0))</f>
        <v>345.789278153858</v>
      </c>
      <c r="G360" s="25" t="n">
        <f aca="false">G359+E360*IF(D360&gt;0,(IF(A360&gt;Penalty!$B$19,Penalty!$I$5,0)+G359)/D360,0)</f>
        <v>46.6815525507708</v>
      </c>
    </row>
    <row r="361" customFormat="false" ht="15" hidden="false" customHeight="false" outlineLevel="0" collapsed="false">
      <c r="A361" s="23" t="n">
        <f aca="false">Penalty!$B$5+357</f>
        <v>46484</v>
      </c>
      <c r="B361" s="24" t="n">
        <f aca="false">IF(YEAR(A361)&gt;2026,Penalty!$B$16/100,IFERROR(INDEX(Rates!$B$4:$E$15,MATCH(YEAR(A361),Rates!$A$4:$A$15,0),ROUNDUP(MONTH(A361)/3,0))/100,0.03))</f>
        <v>0.07</v>
      </c>
      <c r="C361" s="25" t="n">
        <f aca="false">MAX(0,Penalty!$B$4-SUMIFS(Penalty!$C$10:$C$12,Penalty!$B$10:$B$12,"&lt;"&amp;A361))</f>
        <v>12000</v>
      </c>
      <c r="D361" s="25" t="n">
        <f aca="false">IF(A361&lt;=Penalty!$B$8,C361+F360+IF(A361&gt;Penalty!$B$19,Penalty!$I$5,0)+G360,0)</f>
        <v>0</v>
      </c>
      <c r="E361" s="26" t="n">
        <f aca="false">D361*B361/365</f>
        <v>0</v>
      </c>
      <c r="F361" s="25" t="n">
        <f aca="false">F360+E361*(1-IF(D361&gt;0,(IF(A361&gt;Penalty!$B$19,Penalty!$I$5,0)+G360)/D361,0))</f>
        <v>345.789278153858</v>
      </c>
      <c r="G361" s="25" t="n">
        <f aca="false">G360+E361*IF(D361&gt;0,(IF(A361&gt;Penalty!$B$19,Penalty!$I$5,0)+G360)/D361,0)</f>
        <v>46.6815525507708</v>
      </c>
    </row>
    <row r="362" customFormat="false" ht="15" hidden="false" customHeight="false" outlineLevel="0" collapsed="false">
      <c r="A362" s="23" t="n">
        <f aca="false">Penalty!$B$5+358</f>
        <v>46485</v>
      </c>
      <c r="B362" s="24" t="n">
        <f aca="false">IF(YEAR(A362)&gt;2026,Penalty!$B$16/100,IFERROR(INDEX(Rates!$B$4:$E$15,MATCH(YEAR(A362),Rates!$A$4:$A$15,0),ROUNDUP(MONTH(A362)/3,0))/100,0.03))</f>
        <v>0.07</v>
      </c>
      <c r="C362" s="25" t="n">
        <f aca="false">MAX(0,Penalty!$B$4-SUMIFS(Penalty!$C$10:$C$12,Penalty!$B$10:$B$12,"&lt;"&amp;A362))</f>
        <v>12000</v>
      </c>
      <c r="D362" s="25" t="n">
        <f aca="false">IF(A362&lt;=Penalty!$B$8,C362+F361+IF(A362&gt;Penalty!$B$19,Penalty!$I$5,0)+G361,0)</f>
        <v>0</v>
      </c>
      <c r="E362" s="26" t="n">
        <f aca="false">D362*B362/365</f>
        <v>0</v>
      </c>
      <c r="F362" s="25" t="n">
        <f aca="false">F361+E362*(1-IF(D362&gt;0,(IF(A362&gt;Penalty!$B$19,Penalty!$I$5,0)+G361)/D362,0))</f>
        <v>345.789278153858</v>
      </c>
      <c r="G362" s="25" t="n">
        <f aca="false">G361+E362*IF(D362&gt;0,(IF(A362&gt;Penalty!$B$19,Penalty!$I$5,0)+G361)/D362,0)</f>
        <v>46.6815525507708</v>
      </c>
    </row>
    <row r="363" customFormat="false" ht="15" hidden="false" customHeight="false" outlineLevel="0" collapsed="false">
      <c r="A363" s="23" t="n">
        <f aca="false">Penalty!$B$5+359</f>
        <v>46486</v>
      </c>
      <c r="B363" s="24" t="n">
        <f aca="false">IF(YEAR(A363)&gt;2026,Penalty!$B$16/100,IFERROR(INDEX(Rates!$B$4:$E$15,MATCH(YEAR(A363),Rates!$A$4:$A$15,0),ROUNDUP(MONTH(A363)/3,0))/100,0.03))</f>
        <v>0.07</v>
      </c>
      <c r="C363" s="25" t="n">
        <f aca="false">MAX(0,Penalty!$B$4-SUMIFS(Penalty!$C$10:$C$12,Penalty!$B$10:$B$12,"&lt;"&amp;A363))</f>
        <v>12000</v>
      </c>
      <c r="D363" s="25" t="n">
        <f aca="false">IF(A363&lt;=Penalty!$B$8,C363+F362+IF(A363&gt;Penalty!$B$19,Penalty!$I$5,0)+G362,0)</f>
        <v>0</v>
      </c>
      <c r="E363" s="26" t="n">
        <f aca="false">D363*B363/365</f>
        <v>0</v>
      </c>
      <c r="F363" s="25" t="n">
        <f aca="false">F362+E363*(1-IF(D363&gt;0,(IF(A363&gt;Penalty!$B$19,Penalty!$I$5,0)+G362)/D363,0))</f>
        <v>345.789278153858</v>
      </c>
      <c r="G363" s="25" t="n">
        <f aca="false">G362+E363*IF(D363&gt;0,(IF(A363&gt;Penalty!$B$19,Penalty!$I$5,0)+G362)/D363,0)</f>
        <v>46.6815525507708</v>
      </c>
    </row>
    <row r="364" customFormat="false" ht="15" hidden="false" customHeight="false" outlineLevel="0" collapsed="false">
      <c r="A364" s="23" t="n">
        <f aca="false">Penalty!$B$5+360</f>
        <v>46487</v>
      </c>
      <c r="B364" s="24" t="n">
        <f aca="false">IF(YEAR(A364)&gt;2026,Penalty!$B$16/100,IFERROR(INDEX(Rates!$B$4:$E$15,MATCH(YEAR(A364),Rates!$A$4:$A$15,0),ROUNDUP(MONTH(A364)/3,0))/100,0.03))</f>
        <v>0.07</v>
      </c>
      <c r="C364" s="25" t="n">
        <f aca="false">MAX(0,Penalty!$B$4-SUMIFS(Penalty!$C$10:$C$12,Penalty!$B$10:$B$12,"&lt;"&amp;A364))</f>
        <v>12000</v>
      </c>
      <c r="D364" s="25" t="n">
        <f aca="false">IF(A364&lt;=Penalty!$B$8,C364+F363+IF(A364&gt;Penalty!$B$19,Penalty!$I$5,0)+G363,0)</f>
        <v>0</v>
      </c>
      <c r="E364" s="26" t="n">
        <f aca="false">D364*B364/365</f>
        <v>0</v>
      </c>
      <c r="F364" s="25" t="n">
        <f aca="false">F363+E364*(1-IF(D364&gt;0,(IF(A364&gt;Penalty!$B$19,Penalty!$I$5,0)+G363)/D364,0))</f>
        <v>345.789278153858</v>
      </c>
      <c r="G364" s="25" t="n">
        <f aca="false">G363+E364*IF(D364&gt;0,(IF(A364&gt;Penalty!$B$19,Penalty!$I$5,0)+G363)/D364,0)</f>
        <v>46.6815525507708</v>
      </c>
    </row>
    <row r="365" customFormat="false" ht="15" hidden="false" customHeight="false" outlineLevel="0" collapsed="false">
      <c r="A365" s="23" t="n">
        <f aca="false">Penalty!$B$5+361</f>
        <v>46488</v>
      </c>
      <c r="B365" s="24" t="n">
        <f aca="false">IF(YEAR(A365)&gt;2026,Penalty!$B$16/100,IFERROR(INDEX(Rates!$B$4:$E$15,MATCH(YEAR(A365),Rates!$A$4:$A$15,0),ROUNDUP(MONTH(A365)/3,0))/100,0.03))</f>
        <v>0.07</v>
      </c>
      <c r="C365" s="25" t="n">
        <f aca="false">MAX(0,Penalty!$B$4-SUMIFS(Penalty!$C$10:$C$12,Penalty!$B$10:$B$12,"&lt;"&amp;A365))</f>
        <v>12000</v>
      </c>
      <c r="D365" s="25" t="n">
        <f aca="false">IF(A365&lt;=Penalty!$B$8,C365+F364+IF(A365&gt;Penalty!$B$19,Penalty!$I$5,0)+G364,0)</f>
        <v>0</v>
      </c>
      <c r="E365" s="26" t="n">
        <f aca="false">D365*B365/365</f>
        <v>0</v>
      </c>
      <c r="F365" s="25" t="n">
        <f aca="false">F364+E365*(1-IF(D365&gt;0,(IF(A365&gt;Penalty!$B$19,Penalty!$I$5,0)+G364)/D365,0))</f>
        <v>345.789278153858</v>
      </c>
      <c r="G365" s="25" t="n">
        <f aca="false">G364+E365*IF(D365&gt;0,(IF(A365&gt;Penalty!$B$19,Penalty!$I$5,0)+G364)/D365,0)</f>
        <v>46.6815525507708</v>
      </c>
    </row>
    <row r="366" customFormat="false" ht="15" hidden="false" customHeight="false" outlineLevel="0" collapsed="false">
      <c r="A366" s="23" t="n">
        <f aca="false">Penalty!$B$5+362</f>
        <v>46489</v>
      </c>
      <c r="B366" s="24" t="n">
        <f aca="false">IF(YEAR(A366)&gt;2026,Penalty!$B$16/100,IFERROR(INDEX(Rates!$B$4:$E$15,MATCH(YEAR(A366),Rates!$A$4:$A$15,0),ROUNDUP(MONTH(A366)/3,0))/100,0.03))</f>
        <v>0.07</v>
      </c>
      <c r="C366" s="25" t="n">
        <f aca="false">MAX(0,Penalty!$B$4-SUMIFS(Penalty!$C$10:$C$12,Penalty!$B$10:$B$12,"&lt;"&amp;A366))</f>
        <v>12000</v>
      </c>
      <c r="D366" s="25" t="n">
        <f aca="false">IF(A366&lt;=Penalty!$B$8,C366+F365+IF(A366&gt;Penalty!$B$19,Penalty!$I$5,0)+G365,0)</f>
        <v>0</v>
      </c>
      <c r="E366" s="26" t="n">
        <f aca="false">D366*B366/365</f>
        <v>0</v>
      </c>
      <c r="F366" s="25" t="n">
        <f aca="false">F365+E366*(1-IF(D366&gt;0,(IF(A366&gt;Penalty!$B$19,Penalty!$I$5,0)+G365)/D366,0))</f>
        <v>345.789278153858</v>
      </c>
      <c r="G366" s="25" t="n">
        <f aca="false">G365+E366*IF(D366&gt;0,(IF(A366&gt;Penalty!$B$19,Penalty!$I$5,0)+G365)/D366,0)</f>
        <v>46.6815525507708</v>
      </c>
    </row>
    <row r="367" customFormat="false" ht="15" hidden="false" customHeight="false" outlineLevel="0" collapsed="false">
      <c r="A367" s="23" t="n">
        <f aca="false">Penalty!$B$5+363</f>
        <v>46490</v>
      </c>
      <c r="B367" s="24" t="n">
        <f aca="false">IF(YEAR(A367)&gt;2026,Penalty!$B$16/100,IFERROR(INDEX(Rates!$B$4:$E$15,MATCH(YEAR(A367),Rates!$A$4:$A$15,0),ROUNDUP(MONTH(A367)/3,0))/100,0.03))</f>
        <v>0.07</v>
      </c>
      <c r="C367" s="25" t="n">
        <f aca="false">MAX(0,Penalty!$B$4-SUMIFS(Penalty!$C$10:$C$12,Penalty!$B$10:$B$12,"&lt;"&amp;A367))</f>
        <v>12000</v>
      </c>
      <c r="D367" s="25" t="n">
        <f aca="false">IF(A367&lt;=Penalty!$B$8,C367+F366+IF(A367&gt;Penalty!$B$19,Penalty!$I$5,0)+G366,0)</f>
        <v>0</v>
      </c>
      <c r="E367" s="26" t="n">
        <f aca="false">D367*B367/365</f>
        <v>0</v>
      </c>
      <c r="F367" s="25" t="n">
        <f aca="false">F366+E367*(1-IF(D367&gt;0,(IF(A367&gt;Penalty!$B$19,Penalty!$I$5,0)+G366)/D367,0))</f>
        <v>345.789278153858</v>
      </c>
      <c r="G367" s="25" t="n">
        <f aca="false">G366+E367*IF(D367&gt;0,(IF(A367&gt;Penalty!$B$19,Penalty!$I$5,0)+G366)/D367,0)</f>
        <v>46.6815525507708</v>
      </c>
    </row>
    <row r="368" customFormat="false" ht="15" hidden="false" customHeight="false" outlineLevel="0" collapsed="false">
      <c r="A368" s="23" t="n">
        <f aca="false">Penalty!$B$5+364</f>
        <v>46491</v>
      </c>
      <c r="B368" s="24" t="n">
        <f aca="false">IF(YEAR(A368)&gt;2026,Penalty!$B$16/100,IFERROR(INDEX(Rates!$B$4:$E$15,MATCH(YEAR(A368),Rates!$A$4:$A$15,0),ROUNDUP(MONTH(A368)/3,0))/100,0.03))</f>
        <v>0.07</v>
      </c>
      <c r="C368" s="25" t="n">
        <f aca="false">MAX(0,Penalty!$B$4-SUMIFS(Penalty!$C$10:$C$12,Penalty!$B$10:$B$12,"&lt;"&amp;A368))</f>
        <v>12000</v>
      </c>
      <c r="D368" s="25" t="n">
        <f aca="false">IF(A368&lt;=Penalty!$B$8,C368+F367+IF(A368&gt;Penalty!$B$19,Penalty!$I$5,0)+G367,0)</f>
        <v>0</v>
      </c>
      <c r="E368" s="26" t="n">
        <f aca="false">D368*B368/365</f>
        <v>0</v>
      </c>
      <c r="F368" s="25" t="n">
        <f aca="false">F367+E368*(1-IF(D368&gt;0,(IF(A368&gt;Penalty!$B$19,Penalty!$I$5,0)+G367)/D368,0))</f>
        <v>345.789278153858</v>
      </c>
      <c r="G368" s="25" t="n">
        <f aca="false">G367+E368*IF(D368&gt;0,(IF(A368&gt;Penalty!$B$19,Penalty!$I$5,0)+G367)/D368,0)</f>
        <v>46.6815525507708</v>
      </c>
    </row>
    <row r="369" customFormat="false" ht="15" hidden="false" customHeight="false" outlineLevel="0" collapsed="false">
      <c r="A369" s="23" t="n">
        <f aca="false">Penalty!$B$5+365</f>
        <v>46492</v>
      </c>
      <c r="B369" s="24" t="n">
        <f aca="false">IF(YEAR(A369)&gt;2026,Penalty!$B$16/100,IFERROR(INDEX(Rates!$B$4:$E$15,MATCH(YEAR(A369),Rates!$A$4:$A$15,0),ROUNDUP(MONTH(A369)/3,0))/100,0.03))</f>
        <v>0.07</v>
      </c>
      <c r="C369" s="25" t="n">
        <f aca="false">MAX(0,Penalty!$B$4-SUMIFS(Penalty!$C$10:$C$12,Penalty!$B$10:$B$12,"&lt;"&amp;A369))</f>
        <v>12000</v>
      </c>
      <c r="D369" s="25" t="n">
        <f aca="false">IF(A369&lt;=Penalty!$B$8,C369+F368+IF(A369&gt;Penalty!$B$19,Penalty!$I$5,0)+G368,0)</f>
        <v>0</v>
      </c>
      <c r="E369" s="26" t="n">
        <f aca="false">D369*B369/365</f>
        <v>0</v>
      </c>
      <c r="F369" s="25" t="n">
        <f aca="false">F368+E369*(1-IF(D369&gt;0,(IF(A369&gt;Penalty!$B$19,Penalty!$I$5,0)+G368)/D369,0))</f>
        <v>345.789278153858</v>
      </c>
      <c r="G369" s="25" t="n">
        <f aca="false">G368+E369*IF(D369&gt;0,(IF(A369&gt;Penalty!$B$19,Penalty!$I$5,0)+G368)/D369,0)</f>
        <v>46.6815525507708</v>
      </c>
    </row>
    <row r="370" customFormat="false" ht="15" hidden="false" customHeight="false" outlineLevel="0" collapsed="false">
      <c r="A370" s="23" t="n">
        <f aca="false">Penalty!$B$5+366</f>
        <v>46493</v>
      </c>
      <c r="B370" s="24" t="n">
        <f aca="false">IF(YEAR(A370)&gt;2026,Penalty!$B$16/100,IFERROR(INDEX(Rates!$B$4:$E$15,MATCH(YEAR(A370),Rates!$A$4:$A$15,0),ROUNDUP(MONTH(A370)/3,0))/100,0.03))</f>
        <v>0.07</v>
      </c>
      <c r="C370" s="25" t="n">
        <f aca="false">MAX(0,Penalty!$B$4-SUMIFS(Penalty!$C$10:$C$12,Penalty!$B$10:$B$12,"&lt;"&amp;A370))</f>
        <v>12000</v>
      </c>
      <c r="D370" s="25" t="n">
        <f aca="false">IF(A370&lt;=Penalty!$B$8,C370+F369+IF(A370&gt;Penalty!$B$19,Penalty!$I$5,0)+G369,0)</f>
        <v>0</v>
      </c>
      <c r="E370" s="26" t="n">
        <f aca="false">D370*B370/365</f>
        <v>0</v>
      </c>
      <c r="F370" s="25" t="n">
        <f aca="false">F369+E370*(1-IF(D370&gt;0,(IF(A370&gt;Penalty!$B$19,Penalty!$I$5,0)+G369)/D370,0))</f>
        <v>345.789278153858</v>
      </c>
      <c r="G370" s="25" t="n">
        <f aca="false">G369+E370*IF(D370&gt;0,(IF(A370&gt;Penalty!$B$19,Penalty!$I$5,0)+G369)/D370,0)</f>
        <v>46.6815525507708</v>
      </c>
    </row>
    <row r="371" customFormat="false" ht="15" hidden="false" customHeight="false" outlineLevel="0" collapsed="false">
      <c r="A371" s="23" t="n">
        <f aca="false">Penalty!$B$5+367</f>
        <v>46494</v>
      </c>
      <c r="B371" s="24" t="n">
        <f aca="false">IF(YEAR(A371)&gt;2026,Penalty!$B$16/100,IFERROR(INDEX(Rates!$B$4:$E$15,MATCH(YEAR(A371),Rates!$A$4:$A$15,0),ROUNDUP(MONTH(A371)/3,0))/100,0.03))</f>
        <v>0.07</v>
      </c>
      <c r="C371" s="25" t="n">
        <f aca="false">MAX(0,Penalty!$B$4-SUMIFS(Penalty!$C$10:$C$12,Penalty!$B$10:$B$12,"&lt;"&amp;A371))</f>
        <v>12000</v>
      </c>
      <c r="D371" s="25" t="n">
        <f aca="false">IF(A371&lt;=Penalty!$B$8,C371+F370+IF(A371&gt;Penalty!$B$19,Penalty!$I$5,0)+G370,0)</f>
        <v>0</v>
      </c>
      <c r="E371" s="26" t="n">
        <f aca="false">D371*B371/365</f>
        <v>0</v>
      </c>
      <c r="F371" s="25" t="n">
        <f aca="false">F370+E371*(1-IF(D371&gt;0,(IF(A371&gt;Penalty!$B$19,Penalty!$I$5,0)+G370)/D371,0))</f>
        <v>345.789278153858</v>
      </c>
      <c r="G371" s="25" t="n">
        <f aca="false">G370+E371*IF(D371&gt;0,(IF(A371&gt;Penalty!$B$19,Penalty!$I$5,0)+G370)/D371,0)</f>
        <v>46.6815525507708</v>
      </c>
    </row>
    <row r="372" customFormat="false" ht="15" hidden="false" customHeight="false" outlineLevel="0" collapsed="false">
      <c r="A372" s="23" t="n">
        <f aca="false">Penalty!$B$5+368</f>
        <v>46495</v>
      </c>
      <c r="B372" s="24" t="n">
        <f aca="false">IF(YEAR(A372)&gt;2026,Penalty!$B$16/100,IFERROR(INDEX(Rates!$B$4:$E$15,MATCH(YEAR(A372),Rates!$A$4:$A$15,0),ROUNDUP(MONTH(A372)/3,0))/100,0.03))</f>
        <v>0.07</v>
      </c>
      <c r="C372" s="25" t="n">
        <f aca="false">MAX(0,Penalty!$B$4-SUMIFS(Penalty!$C$10:$C$12,Penalty!$B$10:$B$12,"&lt;"&amp;A372))</f>
        <v>12000</v>
      </c>
      <c r="D372" s="25" t="n">
        <f aca="false">IF(A372&lt;=Penalty!$B$8,C372+F371+IF(A372&gt;Penalty!$B$19,Penalty!$I$5,0)+G371,0)</f>
        <v>0</v>
      </c>
      <c r="E372" s="26" t="n">
        <f aca="false">D372*B372/365</f>
        <v>0</v>
      </c>
      <c r="F372" s="25" t="n">
        <f aca="false">F371+E372*(1-IF(D372&gt;0,(IF(A372&gt;Penalty!$B$19,Penalty!$I$5,0)+G371)/D372,0))</f>
        <v>345.789278153858</v>
      </c>
      <c r="G372" s="25" t="n">
        <f aca="false">G371+E372*IF(D372&gt;0,(IF(A372&gt;Penalty!$B$19,Penalty!$I$5,0)+G371)/D372,0)</f>
        <v>46.6815525507708</v>
      </c>
    </row>
    <row r="373" customFormat="false" ht="15" hidden="false" customHeight="false" outlineLevel="0" collapsed="false">
      <c r="A373" s="23" t="n">
        <f aca="false">Penalty!$B$5+369</f>
        <v>46496</v>
      </c>
      <c r="B373" s="24" t="n">
        <f aca="false">IF(YEAR(A373)&gt;2026,Penalty!$B$16/100,IFERROR(INDEX(Rates!$B$4:$E$15,MATCH(YEAR(A373),Rates!$A$4:$A$15,0),ROUNDUP(MONTH(A373)/3,0))/100,0.03))</f>
        <v>0.07</v>
      </c>
      <c r="C373" s="25" t="n">
        <f aca="false">MAX(0,Penalty!$B$4-SUMIFS(Penalty!$C$10:$C$12,Penalty!$B$10:$B$12,"&lt;"&amp;A373))</f>
        <v>12000</v>
      </c>
      <c r="D373" s="25" t="n">
        <f aca="false">IF(A373&lt;=Penalty!$B$8,C373+F372+IF(A373&gt;Penalty!$B$19,Penalty!$I$5,0)+G372,0)</f>
        <v>0</v>
      </c>
      <c r="E373" s="26" t="n">
        <f aca="false">D373*B373/365</f>
        <v>0</v>
      </c>
      <c r="F373" s="25" t="n">
        <f aca="false">F372+E373*(1-IF(D373&gt;0,(IF(A373&gt;Penalty!$B$19,Penalty!$I$5,0)+G372)/D373,0))</f>
        <v>345.789278153858</v>
      </c>
      <c r="G373" s="25" t="n">
        <f aca="false">G372+E373*IF(D373&gt;0,(IF(A373&gt;Penalty!$B$19,Penalty!$I$5,0)+G372)/D373,0)</f>
        <v>46.6815525507708</v>
      </c>
    </row>
    <row r="374" customFormat="false" ht="15" hidden="false" customHeight="false" outlineLevel="0" collapsed="false">
      <c r="A374" s="23" t="n">
        <f aca="false">Penalty!$B$5+370</f>
        <v>46497</v>
      </c>
      <c r="B374" s="24" t="n">
        <f aca="false">IF(YEAR(A374)&gt;2026,Penalty!$B$16/100,IFERROR(INDEX(Rates!$B$4:$E$15,MATCH(YEAR(A374),Rates!$A$4:$A$15,0),ROUNDUP(MONTH(A374)/3,0))/100,0.03))</f>
        <v>0.07</v>
      </c>
      <c r="C374" s="25" t="n">
        <f aca="false">MAX(0,Penalty!$B$4-SUMIFS(Penalty!$C$10:$C$12,Penalty!$B$10:$B$12,"&lt;"&amp;A374))</f>
        <v>12000</v>
      </c>
      <c r="D374" s="25" t="n">
        <f aca="false">IF(A374&lt;=Penalty!$B$8,C374+F373+IF(A374&gt;Penalty!$B$19,Penalty!$I$5,0)+G373,0)</f>
        <v>0</v>
      </c>
      <c r="E374" s="26" t="n">
        <f aca="false">D374*B374/365</f>
        <v>0</v>
      </c>
      <c r="F374" s="25" t="n">
        <f aca="false">F373+E374*(1-IF(D374&gt;0,(IF(A374&gt;Penalty!$B$19,Penalty!$I$5,0)+G373)/D374,0))</f>
        <v>345.789278153858</v>
      </c>
      <c r="G374" s="25" t="n">
        <f aca="false">G373+E374*IF(D374&gt;0,(IF(A374&gt;Penalty!$B$19,Penalty!$I$5,0)+G373)/D374,0)</f>
        <v>46.6815525507708</v>
      </c>
    </row>
    <row r="375" customFormat="false" ht="15" hidden="false" customHeight="false" outlineLevel="0" collapsed="false">
      <c r="A375" s="23" t="n">
        <f aca="false">Penalty!$B$5+371</f>
        <v>46498</v>
      </c>
      <c r="B375" s="24" t="n">
        <f aca="false">IF(YEAR(A375)&gt;2026,Penalty!$B$16/100,IFERROR(INDEX(Rates!$B$4:$E$15,MATCH(YEAR(A375),Rates!$A$4:$A$15,0),ROUNDUP(MONTH(A375)/3,0))/100,0.03))</f>
        <v>0.07</v>
      </c>
      <c r="C375" s="25" t="n">
        <f aca="false">MAX(0,Penalty!$B$4-SUMIFS(Penalty!$C$10:$C$12,Penalty!$B$10:$B$12,"&lt;"&amp;A375))</f>
        <v>12000</v>
      </c>
      <c r="D375" s="25" t="n">
        <f aca="false">IF(A375&lt;=Penalty!$B$8,C375+F374+IF(A375&gt;Penalty!$B$19,Penalty!$I$5,0)+G374,0)</f>
        <v>0</v>
      </c>
      <c r="E375" s="26" t="n">
        <f aca="false">D375*B375/365</f>
        <v>0</v>
      </c>
      <c r="F375" s="25" t="n">
        <f aca="false">F374+E375*(1-IF(D375&gt;0,(IF(A375&gt;Penalty!$B$19,Penalty!$I$5,0)+G374)/D375,0))</f>
        <v>345.789278153858</v>
      </c>
      <c r="G375" s="25" t="n">
        <f aca="false">G374+E375*IF(D375&gt;0,(IF(A375&gt;Penalty!$B$19,Penalty!$I$5,0)+G374)/D375,0)</f>
        <v>46.6815525507708</v>
      </c>
    </row>
    <row r="376" customFormat="false" ht="15" hidden="false" customHeight="false" outlineLevel="0" collapsed="false">
      <c r="A376" s="23" t="n">
        <f aca="false">Penalty!$B$5+372</f>
        <v>46499</v>
      </c>
      <c r="B376" s="24" t="n">
        <f aca="false">IF(YEAR(A376)&gt;2026,Penalty!$B$16/100,IFERROR(INDEX(Rates!$B$4:$E$15,MATCH(YEAR(A376),Rates!$A$4:$A$15,0),ROUNDUP(MONTH(A376)/3,0))/100,0.03))</f>
        <v>0.07</v>
      </c>
      <c r="C376" s="25" t="n">
        <f aca="false">MAX(0,Penalty!$B$4-SUMIFS(Penalty!$C$10:$C$12,Penalty!$B$10:$B$12,"&lt;"&amp;A376))</f>
        <v>12000</v>
      </c>
      <c r="D376" s="25" t="n">
        <f aca="false">IF(A376&lt;=Penalty!$B$8,C376+F375+IF(A376&gt;Penalty!$B$19,Penalty!$I$5,0)+G375,0)</f>
        <v>0</v>
      </c>
      <c r="E376" s="26" t="n">
        <f aca="false">D376*B376/365</f>
        <v>0</v>
      </c>
      <c r="F376" s="25" t="n">
        <f aca="false">F375+E376*(1-IF(D376&gt;0,(IF(A376&gt;Penalty!$B$19,Penalty!$I$5,0)+G375)/D376,0))</f>
        <v>345.789278153858</v>
      </c>
      <c r="G376" s="25" t="n">
        <f aca="false">G375+E376*IF(D376&gt;0,(IF(A376&gt;Penalty!$B$19,Penalty!$I$5,0)+G375)/D376,0)</f>
        <v>46.6815525507708</v>
      </c>
    </row>
    <row r="377" customFormat="false" ht="15" hidden="false" customHeight="false" outlineLevel="0" collapsed="false">
      <c r="A377" s="23" t="n">
        <f aca="false">Penalty!$B$5+373</f>
        <v>46500</v>
      </c>
      <c r="B377" s="24" t="n">
        <f aca="false">IF(YEAR(A377)&gt;2026,Penalty!$B$16/100,IFERROR(INDEX(Rates!$B$4:$E$15,MATCH(YEAR(A377),Rates!$A$4:$A$15,0),ROUNDUP(MONTH(A377)/3,0))/100,0.03))</f>
        <v>0.07</v>
      </c>
      <c r="C377" s="25" t="n">
        <f aca="false">MAX(0,Penalty!$B$4-SUMIFS(Penalty!$C$10:$C$12,Penalty!$B$10:$B$12,"&lt;"&amp;A377))</f>
        <v>12000</v>
      </c>
      <c r="D377" s="25" t="n">
        <f aca="false">IF(A377&lt;=Penalty!$B$8,C377+F376+IF(A377&gt;Penalty!$B$19,Penalty!$I$5,0)+G376,0)</f>
        <v>0</v>
      </c>
      <c r="E377" s="26" t="n">
        <f aca="false">D377*B377/365</f>
        <v>0</v>
      </c>
      <c r="F377" s="25" t="n">
        <f aca="false">F376+E377*(1-IF(D377&gt;0,(IF(A377&gt;Penalty!$B$19,Penalty!$I$5,0)+G376)/D377,0))</f>
        <v>345.789278153858</v>
      </c>
      <c r="G377" s="25" t="n">
        <f aca="false">G376+E377*IF(D377&gt;0,(IF(A377&gt;Penalty!$B$19,Penalty!$I$5,0)+G376)/D377,0)</f>
        <v>46.6815525507708</v>
      </c>
    </row>
    <row r="378" customFormat="false" ht="15" hidden="false" customHeight="false" outlineLevel="0" collapsed="false">
      <c r="A378" s="23" t="n">
        <f aca="false">Penalty!$B$5+374</f>
        <v>46501</v>
      </c>
      <c r="B378" s="24" t="n">
        <f aca="false">IF(YEAR(A378)&gt;2026,Penalty!$B$16/100,IFERROR(INDEX(Rates!$B$4:$E$15,MATCH(YEAR(A378),Rates!$A$4:$A$15,0),ROUNDUP(MONTH(A378)/3,0))/100,0.03))</f>
        <v>0.07</v>
      </c>
      <c r="C378" s="25" t="n">
        <f aca="false">MAX(0,Penalty!$B$4-SUMIFS(Penalty!$C$10:$C$12,Penalty!$B$10:$B$12,"&lt;"&amp;A378))</f>
        <v>12000</v>
      </c>
      <c r="D378" s="25" t="n">
        <f aca="false">IF(A378&lt;=Penalty!$B$8,C378+F377+IF(A378&gt;Penalty!$B$19,Penalty!$I$5,0)+G377,0)</f>
        <v>0</v>
      </c>
      <c r="E378" s="26" t="n">
        <f aca="false">D378*B378/365</f>
        <v>0</v>
      </c>
      <c r="F378" s="25" t="n">
        <f aca="false">F377+E378*(1-IF(D378&gt;0,(IF(A378&gt;Penalty!$B$19,Penalty!$I$5,0)+G377)/D378,0))</f>
        <v>345.789278153858</v>
      </c>
      <c r="G378" s="25" t="n">
        <f aca="false">G377+E378*IF(D378&gt;0,(IF(A378&gt;Penalty!$B$19,Penalty!$I$5,0)+G377)/D378,0)</f>
        <v>46.6815525507708</v>
      </c>
    </row>
    <row r="379" customFormat="false" ht="15" hidden="false" customHeight="false" outlineLevel="0" collapsed="false">
      <c r="A379" s="23" t="n">
        <f aca="false">Penalty!$B$5+375</f>
        <v>46502</v>
      </c>
      <c r="B379" s="24" t="n">
        <f aca="false">IF(YEAR(A379)&gt;2026,Penalty!$B$16/100,IFERROR(INDEX(Rates!$B$4:$E$15,MATCH(YEAR(A379),Rates!$A$4:$A$15,0),ROUNDUP(MONTH(A379)/3,0))/100,0.03))</f>
        <v>0.07</v>
      </c>
      <c r="C379" s="25" t="n">
        <f aca="false">MAX(0,Penalty!$B$4-SUMIFS(Penalty!$C$10:$C$12,Penalty!$B$10:$B$12,"&lt;"&amp;A379))</f>
        <v>12000</v>
      </c>
      <c r="D379" s="25" t="n">
        <f aca="false">IF(A379&lt;=Penalty!$B$8,C379+F378+IF(A379&gt;Penalty!$B$19,Penalty!$I$5,0)+G378,0)</f>
        <v>0</v>
      </c>
      <c r="E379" s="26" t="n">
        <f aca="false">D379*B379/365</f>
        <v>0</v>
      </c>
      <c r="F379" s="25" t="n">
        <f aca="false">F378+E379*(1-IF(D379&gt;0,(IF(A379&gt;Penalty!$B$19,Penalty!$I$5,0)+G378)/D379,0))</f>
        <v>345.789278153858</v>
      </c>
      <c r="G379" s="25" t="n">
        <f aca="false">G378+E379*IF(D379&gt;0,(IF(A379&gt;Penalty!$B$19,Penalty!$I$5,0)+G378)/D379,0)</f>
        <v>46.6815525507708</v>
      </c>
    </row>
    <row r="380" customFormat="false" ht="15" hidden="false" customHeight="false" outlineLevel="0" collapsed="false">
      <c r="A380" s="23" t="n">
        <f aca="false">Penalty!$B$5+376</f>
        <v>46503</v>
      </c>
      <c r="B380" s="24" t="n">
        <f aca="false">IF(YEAR(A380)&gt;2026,Penalty!$B$16/100,IFERROR(INDEX(Rates!$B$4:$E$15,MATCH(YEAR(A380),Rates!$A$4:$A$15,0),ROUNDUP(MONTH(A380)/3,0))/100,0.03))</f>
        <v>0.07</v>
      </c>
      <c r="C380" s="25" t="n">
        <f aca="false">MAX(0,Penalty!$B$4-SUMIFS(Penalty!$C$10:$C$12,Penalty!$B$10:$B$12,"&lt;"&amp;A380))</f>
        <v>12000</v>
      </c>
      <c r="D380" s="25" t="n">
        <f aca="false">IF(A380&lt;=Penalty!$B$8,C380+F379+IF(A380&gt;Penalty!$B$19,Penalty!$I$5,0)+G379,0)</f>
        <v>0</v>
      </c>
      <c r="E380" s="26" t="n">
        <f aca="false">D380*B380/365</f>
        <v>0</v>
      </c>
      <c r="F380" s="25" t="n">
        <f aca="false">F379+E380*(1-IF(D380&gt;0,(IF(A380&gt;Penalty!$B$19,Penalty!$I$5,0)+G379)/D380,0))</f>
        <v>345.789278153858</v>
      </c>
      <c r="G380" s="25" t="n">
        <f aca="false">G379+E380*IF(D380&gt;0,(IF(A380&gt;Penalty!$B$19,Penalty!$I$5,0)+G379)/D380,0)</f>
        <v>46.6815525507708</v>
      </c>
    </row>
    <row r="381" customFormat="false" ht="15" hidden="false" customHeight="false" outlineLevel="0" collapsed="false">
      <c r="A381" s="23" t="n">
        <f aca="false">Penalty!$B$5+377</f>
        <v>46504</v>
      </c>
      <c r="B381" s="24" t="n">
        <f aca="false">IF(YEAR(A381)&gt;2026,Penalty!$B$16/100,IFERROR(INDEX(Rates!$B$4:$E$15,MATCH(YEAR(A381),Rates!$A$4:$A$15,0),ROUNDUP(MONTH(A381)/3,0))/100,0.03))</f>
        <v>0.07</v>
      </c>
      <c r="C381" s="25" t="n">
        <f aca="false">MAX(0,Penalty!$B$4-SUMIFS(Penalty!$C$10:$C$12,Penalty!$B$10:$B$12,"&lt;"&amp;A381))</f>
        <v>12000</v>
      </c>
      <c r="D381" s="25" t="n">
        <f aca="false">IF(A381&lt;=Penalty!$B$8,C381+F380+IF(A381&gt;Penalty!$B$19,Penalty!$I$5,0)+G380,0)</f>
        <v>0</v>
      </c>
      <c r="E381" s="26" t="n">
        <f aca="false">D381*B381/365</f>
        <v>0</v>
      </c>
      <c r="F381" s="25" t="n">
        <f aca="false">F380+E381*(1-IF(D381&gt;0,(IF(A381&gt;Penalty!$B$19,Penalty!$I$5,0)+G380)/D381,0))</f>
        <v>345.789278153858</v>
      </c>
      <c r="G381" s="25" t="n">
        <f aca="false">G380+E381*IF(D381&gt;0,(IF(A381&gt;Penalty!$B$19,Penalty!$I$5,0)+G380)/D381,0)</f>
        <v>46.6815525507708</v>
      </c>
    </row>
    <row r="382" customFormat="false" ht="15" hidden="false" customHeight="false" outlineLevel="0" collapsed="false">
      <c r="A382" s="23" t="n">
        <f aca="false">Penalty!$B$5+378</f>
        <v>46505</v>
      </c>
      <c r="B382" s="24" t="n">
        <f aca="false">IF(YEAR(A382)&gt;2026,Penalty!$B$16/100,IFERROR(INDEX(Rates!$B$4:$E$15,MATCH(YEAR(A382),Rates!$A$4:$A$15,0),ROUNDUP(MONTH(A382)/3,0))/100,0.03))</f>
        <v>0.07</v>
      </c>
      <c r="C382" s="25" t="n">
        <f aca="false">MAX(0,Penalty!$B$4-SUMIFS(Penalty!$C$10:$C$12,Penalty!$B$10:$B$12,"&lt;"&amp;A382))</f>
        <v>12000</v>
      </c>
      <c r="D382" s="25" t="n">
        <f aca="false">IF(A382&lt;=Penalty!$B$8,C382+F381+IF(A382&gt;Penalty!$B$19,Penalty!$I$5,0)+G381,0)</f>
        <v>0</v>
      </c>
      <c r="E382" s="26" t="n">
        <f aca="false">D382*B382/365</f>
        <v>0</v>
      </c>
      <c r="F382" s="25" t="n">
        <f aca="false">F381+E382*(1-IF(D382&gt;0,(IF(A382&gt;Penalty!$B$19,Penalty!$I$5,0)+G381)/D382,0))</f>
        <v>345.789278153858</v>
      </c>
      <c r="G382" s="25" t="n">
        <f aca="false">G381+E382*IF(D382&gt;0,(IF(A382&gt;Penalty!$B$19,Penalty!$I$5,0)+G381)/D382,0)</f>
        <v>46.6815525507708</v>
      </c>
    </row>
    <row r="383" customFormat="false" ht="15" hidden="false" customHeight="false" outlineLevel="0" collapsed="false">
      <c r="A383" s="23" t="n">
        <f aca="false">Penalty!$B$5+379</f>
        <v>46506</v>
      </c>
      <c r="B383" s="24" t="n">
        <f aca="false">IF(YEAR(A383)&gt;2026,Penalty!$B$16/100,IFERROR(INDEX(Rates!$B$4:$E$15,MATCH(YEAR(A383),Rates!$A$4:$A$15,0),ROUNDUP(MONTH(A383)/3,0))/100,0.03))</f>
        <v>0.07</v>
      </c>
      <c r="C383" s="25" t="n">
        <f aca="false">MAX(0,Penalty!$B$4-SUMIFS(Penalty!$C$10:$C$12,Penalty!$B$10:$B$12,"&lt;"&amp;A383))</f>
        <v>12000</v>
      </c>
      <c r="D383" s="25" t="n">
        <f aca="false">IF(A383&lt;=Penalty!$B$8,C383+F382+IF(A383&gt;Penalty!$B$19,Penalty!$I$5,0)+G382,0)</f>
        <v>0</v>
      </c>
      <c r="E383" s="26" t="n">
        <f aca="false">D383*B383/365</f>
        <v>0</v>
      </c>
      <c r="F383" s="25" t="n">
        <f aca="false">F382+E383*(1-IF(D383&gt;0,(IF(A383&gt;Penalty!$B$19,Penalty!$I$5,0)+G382)/D383,0))</f>
        <v>345.789278153858</v>
      </c>
      <c r="G383" s="25" t="n">
        <f aca="false">G382+E383*IF(D383&gt;0,(IF(A383&gt;Penalty!$B$19,Penalty!$I$5,0)+G382)/D383,0)</f>
        <v>46.6815525507708</v>
      </c>
    </row>
    <row r="384" customFormat="false" ht="15" hidden="false" customHeight="false" outlineLevel="0" collapsed="false">
      <c r="A384" s="23" t="n">
        <f aca="false">Penalty!$B$5+380</f>
        <v>46507</v>
      </c>
      <c r="B384" s="24" t="n">
        <f aca="false">IF(YEAR(A384)&gt;2026,Penalty!$B$16/100,IFERROR(INDEX(Rates!$B$4:$E$15,MATCH(YEAR(A384),Rates!$A$4:$A$15,0),ROUNDUP(MONTH(A384)/3,0))/100,0.03))</f>
        <v>0.07</v>
      </c>
      <c r="C384" s="25" t="n">
        <f aca="false">MAX(0,Penalty!$B$4-SUMIFS(Penalty!$C$10:$C$12,Penalty!$B$10:$B$12,"&lt;"&amp;A384))</f>
        <v>12000</v>
      </c>
      <c r="D384" s="25" t="n">
        <f aca="false">IF(A384&lt;=Penalty!$B$8,C384+F383+IF(A384&gt;Penalty!$B$19,Penalty!$I$5,0)+G383,0)</f>
        <v>0</v>
      </c>
      <c r="E384" s="26" t="n">
        <f aca="false">D384*B384/365</f>
        <v>0</v>
      </c>
      <c r="F384" s="25" t="n">
        <f aca="false">F383+E384*(1-IF(D384&gt;0,(IF(A384&gt;Penalty!$B$19,Penalty!$I$5,0)+G383)/D384,0))</f>
        <v>345.789278153858</v>
      </c>
      <c r="G384" s="25" t="n">
        <f aca="false">G383+E384*IF(D384&gt;0,(IF(A384&gt;Penalty!$B$19,Penalty!$I$5,0)+G383)/D384,0)</f>
        <v>46.6815525507708</v>
      </c>
    </row>
    <row r="385" customFormat="false" ht="15" hidden="false" customHeight="false" outlineLevel="0" collapsed="false">
      <c r="A385" s="23" t="n">
        <f aca="false">Penalty!$B$5+381</f>
        <v>46508</v>
      </c>
      <c r="B385" s="24" t="n">
        <f aca="false">IF(YEAR(A385)&gt;2026,Penalty!$B$16/100,IFERROR(INDEX(Rates!$B$4:$E$15,MATCH(YEAR(A385),Rates!$A$4:$A$15,0),ROUNDUP(MONTH(A385)/3,0))/100,0.03))</f>
        <v>0.07</v>
      </c>
      <c r="C385" s="25" t="n">
        <f aca="false">MAX(0,Penalty!$B$4-SUMIFS(Penalty!$C$10:$C$12,Penalty!$B$10:$B$12,"&lt;"&amp;A385))</f>
        <v>12000</v>
      </c>
      <c r="D385" s="25" t="n">
        <f aca="false">IF(A385&lt;=Penalty!$B$8,C385+F384+IF(A385&gt;Penalty!$B$19,Penalty!$I$5,0)+G384,0)</f>
        <v>0</v>
      </c>
      <c r="E385" s="26" t="n">
        <f aca="false">D385*B385/365</f>
        <v>0</v>
      </c>
      <c r="F385" s="25" t="n">
        <f aca="false">F384+E385*(1-IF(D385&gt;0,(IF(A385&gt;Penalty!$B$19,Penalty!$I$5,0)+G384)/D385,0))</f>
        <v>345.789278153858</v>
      </c>
      <c r="G385" s="25" t="n">
        <f aca="false">G384+E385*IF(D385&gt;0,(IF(A385&gt;Penalty!$B$19,Penalty!$I$5,0)+G384)/D385,0)</f>
        <v>46.6815525507708</v>
      </c>
    </row>
    <row r="386" customFormat="false" ht="15" hidden="false" customHeight="false" outlineLevel="0" collapsed="false">
      <c r="A386" s="23" t="n">
        <f aca="false">Penalty!$B$5+382</f>
        <v>46509</v>
      </c>
      <c r="B386" s="24" t="n">
        <f aca="false">IF(YEAR(A386)&gt;2026,Penalty!$B$16/100,IFERROR(INDEX(Rates!$B$4:$E$15,MATCH(YEAR(A386),Rates!$A$4:$A$15,0),ROUNDUP(MONTH(A386)/3,0))/100,0.03))</f>
        <v>0.07</v>
      </c>
      <c r="C386" s="25" t="n">
        <f aca="false">MAX(0,Penalty!$B$4-SUMIFS(Penalty!$C$10:$C$12,Penalty!$B$10:$B$12,"&lt;"&amp;A386))</f>
        <v>12000</v>
      </c>
      <c r="D386" s="25" t="n">
        <f aca="false">IF(A386&lt;=Penalty!$B$8,C386+F385+IF(A386&gt;Penalty!$B$19,Penalty!$I$5,0)+G385,0)</f>
        <v>0</v>
      </c>
      <c r="E386" s="26" t="n">
        <f aca="false">D386*B386/365</f>
        <v>0</v>
      </c>
      <c r="F386" s="25" t="n">
        <f aca="false">F385+E386*(1-IF(D386&gt;0,(IF(A386&gt;Penalty!$B$19,Penalty!$I$5,0)+G385)/D386,0))</f>
        <v>345.789278153858</v>
      </c>
      <c r="G386" s="25" t="n">
        <f aca="false">G385+E386*IF(D386&gt;0,(IF(A386&gt;Penalty!$B$19,Penalty!$I$5,0)+G385)/D386,0)</f>
        <v>46.6815525507708</v>
      </c>
    </row>
    <row r="387" customFormat="false" ht="15" hidden="false" customHeight="false" outlineLevel="0" collapsed="false">
      <c r="A387" s="23" t="n">
        <f aca="false">Penalty!$B$5+383</f>
        <v>46510</v>
      </c>
      <c r="B387" s="24" t="n">
        <f aca="false">IF(YEAR(A387)&gt;2026,Penalty!$B$16/100,IFERROR(INDEX(Rates!$B$4:$E$15,MATCH(YEAR(A387),Rates!$A$4:$A$15,0),ROUNDUP(MONTH(A387)/3,0))/100,0.03))</f>
        <v>0.07</v>
      </c>
      <c r="C387" s="25" t="n">
        <f aca="false">MAX(0,Penalty!$B$4-SUMIFS(Penalty!$C$10:$C$12,Penalty!$B$10:$B$12,"&lt;"&amp;A387))</f>
        <v>12000</v>
      </c>
      <c r="D387" s="25" t="n">
        <f aca="false">IF(A387&lt;=Penalty!$B$8,C387+F386+IF(A387&gt;Penalty!$B$19,Penalty!$I$5,0)+G386,0)</f>
        <v>0</v>
      </c>
      <c r="E387" s="26" t="n">
        <f aca="false">D387*B387/365</f>
        <v>0</v>
      </c>
      <c r="F387" s="25" t="n">
        <f aca="false">F386+E387*(1-IF(D387&gt;0,(IF(A387&gt;Penalty!$B$19,Penalty!$I$5,0)+G386)/D387,0))</f>
        <v>345.789278153858</v>
      </c>
      <c r="G387" s="25" t="n">
        <f aca="false">G386+E387*IF(D387&gt;0,(IF(A387&gt;Penalty!$B$19,Penalty!$I$5,0)+G386)/D387,0)</f>
        <v>46.6815525507708</v>
      </c>
    </row>
    <row r="388" customFormat="false" ht="15" hidden="false" customHeight="false" outlineLevel="0" collapsed="false">
      <c r="A388" s="23" t="n">
        <f aca="false">Penalty!$B$5+384</f>
        <v>46511</v>
      </c>
      <c r="B388" s="24" t="n">
        <f aca="false">IF(YEAR(A388)&gt;2026,Penalty!$B$16/100,IFERROR(INDEX(Rates!$B$4:$E$15,MATCH(YEAR(A388),Rates!$A$4:$A$15,0),ROUNDUP(MONTH(A388)/3,0))/100,0.03))</f>
        <v>0.07</v>
      </c>
      <c r="C388" s="25" t="n">
        <f aca="false">MAX(0,Penalty!$B$4-SUMIFS(Penalty!$C$10:$C$12,Penalty!$B$10:$B$12,"&lt;"&amp;A388))</f>
        <v>12000</v>
      </c>
      <c r="D388" s="25" t="n">
        <f aca="false">IF(A388&lt;=Penalty!$B$8,C388+F387+IF(A388&gt;Penalty!$B$19,Penalty!$I$5,0)+G387,0)</f>
        <v>0</v>
      </c>
      <c r="E388" s="26" t="n">
        <f aca="false">D388*B388/365</f>
        <v>0</v>
      </c>
      <c r="F388" s="25" t="n">
        <f aca="false">F387+E388*(1-IF(D388&gt;0,(IF(A388&gt;Penalty!$B$19,Penalty!$I$5,0)+G387)/D388,0))</f>
        <v>345.789278153858</v>
      </c>
      <c r="G388" s="25" t="n">
        <f aca="false">G387+E388*IF(D388&gt;0,(IF(A388&gt;Penalty!$B$19,Penalty!$I$5,0)+G387)/D388,0)</f>
        <v>46.6815525507708</v>
      </c>
    </row>
    <row r="389" customFormat="false" ht="15" hidden="false" customHeight="false" outlineLevel="0" collapsed="false">
      <c r="A389" s="23" t="n">
        <f aca="false">Penalty!$B$5+385</f>
        <v>46512</v>
      </c>
      <c r="B389" s="24" t="n">
        <f aca="false">IF(YEAR(A389)&gt;2026,Penalty!$B$16/100,IFERROR(INDEX(Rates!$B$4:$E$15,MATCH(YEAR(A389),Rates!$A$4:$A$15,0),ROUNDUP(MONTH(A389)/3,0))/100,0.03))</f>
        <v>0.07</v>
      </c>
      <c r="C389" s="25" t="n">
        <f aca="false">MAX(0,Penalty!$B$4-SUMIFS(Penalty!$C$10:$C$12,Penalty!$B$10:$B$12,"&lt;"&amp;A389))</f>
        <v>12000</v>
      </c>
      <c r="D389" s="25" t="n">
        <f aca="false">IF(A389&lt;=Penalty!$B$8,C389+F388+IF(A389&gt;Penalty!$B$19,Penalty!$I$5,0)+G388,0)</f>
        <v>0</v>
      </c>
      <c r="E389" s="26" t="n">
        <f aca="false">D389*B389/365</f>
        <v>0</v>
      </c>
      <c r="F389" s="25" t="n">
        <f aca="false">F388+E389*(1-IF(D389&gt;0,(IF(A389&gt;Penalty!$B$19,Penalty!$I$5,0)+G388)/D389,0))</f>
        <v>345.789278153858</v>
      </c>
      <c r="G389" s="25" t="n">
        <f aca="false">G388+E389*IF(D389&gt;0,(IF(A389&gt;Penalty!$B$19,Penalty!$I$5,0)+G388)/D389,0)</f>
        <v>46.6815525507708</v>
      </c>
    </row>
    <row r="390" customFormat="false" ht="15" hidden="false" customHeight="false" outlineLevel="0" collapsed="false">
      <c r="A390" s="23" t="n">
        <f aca="false">Penalty!$B$5+386</f>
        <v>46513</v>
      </c>
      <c r="B390" s="24" t="n">
        <f aca="false">IF(YEAR(A390)&gt;2026,Penalty!$B$16/100,IFERROR(INDEX(Rates!$B$4:$E$15,MATCH(YEAR(A390),Rates!$A$4:$A$15,0),ROUNDUP(MONTH(A390)/3,0))/100,0.03))</f>
        <v>0.07</v>
      </c>
      <c r="C390" s="25" t="n">
        <f aca="false">MAX(0,Penalty!$B$4-SUMIFS(Penalty!$C$10:$C$12,Penalty!$B$10:$B$12,"&lt;"&amp;A390))</f>
        <v>12000</v>
      </c>
      <c r="D390" s="25" t="n">
        <f aca="false">IF(A390&lt;=Penalty!$B$8,C390+F389+IF(A390&gt;Penalty!$B$19,Penalty!$I$5,0)+G389,0)</f>
        <v>0</v>
      </c>
      <c r="E390" s="26" t="n">
        <f aca="false">D390*B390/365</f>
        <v>0</v>
      </c>
      <c r="F390" s="25" t="n">
        <f aca="false">F389+E390*(1-IF(D390&gt;0,(IF(A390&gt;Penalty!$B$19,Penalty!$I$5,0)+G389)/D390,0))</f>
        <v>345.789278153858</v>
      </c>
      <c r="G390" s="25" t="n">
        <f aca="false">G389+E390*IF(D390&gt;0,(IF(A390&gt;Penalty!$B$19,Penalty!$I$5,0)+G389)/D390,0)</f>
        <v>46.6815525507708</v>
      </c>
    </row>
    <row r="391" customFormat="false" ht="15" hidden="false" customHeight="false" outlineLevel="0" collapsed="false">
      <c r="A391" s="23" t="n">
        <f aca="false">Penalty!$B$5+387</f>
        <v>46514</v>
      </c>
      <c r="B391" s="24" t="n">
        <f aca="false">IF(YEAR(A391)&gt;2026,Penalty!$B$16/100,IFERROR(INDEX(Rates!$B$4:$E$15,MATCH(YEAR(A391),Rates!$A$4:$A$15,0),ROUNDUP(MONTH(A391)/3,0))/100,0.03))</f>
        <v>0.07</v>
      </c>
      <c r="C391" s="25" t="n">
        <f aca="false">MAX(0,Penalty!$B$4-SUMIFS(Penalty!$C$10:$C$12,Penalty!$B$10:$B$12,"&lt;"&amp;A391))</f>
        <v>12000</v>
      </c>
      <c r="D391" s="25" t="n">
        <f aca="false">IF(A391&lt;=Penalty!$B$8,C391+F390+IF(A391&gt;Penalty!$B$19,Penalty!$I$5,0)+G390,0)</f>
        <v>0</v>
      </c>
      <c r="E391" s="26" t="n">
        <f aca="false">D391*B391/365</f>
        <v>0</v>
      </c>
      <c r="F391" s="25" t="n">
        <f aca="false">F390+E391*(1-IF(D391&gt;0,(IF(A391&gt;Penalty!$B$19,Penalty!$I$5,0)+G390)/D391,0))</f>
        <v>345.789278153858</v>
      </c>
      <c r="G391" s="25" t="n">
        <f aca="false">G390+E391*IF(D391&gt;0,(IF(A391&gt;Penalty!$B$19,Penalty!$I$5,0)+G390)/D391,0)</f>
        <v>46.6815525507708</v>
      </c>
    </row>
    <row r="392" customFormat="false" ht="15" hidden="false" customHeight="false" outlineLevel="0" collapsed="false">
      <c r="A392" s="23" t="n">
        <f aca="false">Penalty!$B$5+388</f>
        <v>46515</v>
      </c>
      <c r="B392" s="24" t="n">
        <f aca="false">IF(YEAR(A392)&gt;2026,Penalty!$B$16/100,IFERROR(INDEX(Rates!$B$4:$E$15,MATCH(YEAR(A392),Rates!$A$4:$A$15,0),ROUNDUP(MONTH(A392)/3,0))/100,0.03))</f>
        <v>0.07</v>
      </c>
      <c r="C392" s="25" t="n">
        <f aca="false">MAX(0,Penalty!$B$4-SUMIFS(Penalty!$C$10:$C$12,Penalty!$B$10:$B$12,"&lt;"&amp;A392))</f>
        <v>12000</v>
      </c>
      <c r="D392" s="25" t="n">
        <f aca="false">IF(A392&lt;=Penalty!$B$8,C392+F391+IF(A392&gt;Penalty!$B$19,Penalty!$I$5,0)+G391,0)</f>
        <v>0</v>
      </c>
      <c r="E392" s="26" t="n">
        <f aca="false">D392*B392/365</f>
        <v>0</v>
      </c>
      <c r="F392" s="25" t="n">
        <f aca="false">F391+E392*(1-IF(D392&gt;0,(IF(A392&gt;Penalty!$B$19,Penalty!$I$5,0)+G391)/D392,0))</f>
        <v>345.789278153858</v>
      </c>
      <c r="G392" s="25" t="n">
        <f aca="false">G391+E392*IF(D392&gt;0,(IF(A392&gt;Penalty!$B$19,Penalty!$I$5,0)+G391)/D392,0)</f>
        <v>46.6815525507708</v>
      </c>
    </row>
    <row r="393" customFormat="false" ht="15" hidden="false" customHeight="false" outlineLevel="0" collapsed="false">
      <c r="A393" s="23" t="n">
        <f aca="false">Penalty!$B$5+389</f>
        <v>46516</v>
      </c>
      <c r="B393" s="24" t="n">
        <f aca="false">IF(YEAR(A393)&gt;2026,Penalty!$B$16/100,IFERROR(INDEX(Rates!$B$4:$E$15,MATCH(YEAR(A393),Rates!$A$4:$A$15,0),ROUNDUP(MONTH(A393)/3,0))/100,0.03))</f>
        <v>0.07</v>
      </c>
      <c r="C393" s="25" t="n">
        <f aca="false">MAX(0,Penalty!$B$4-SUMIFS(Penalty!$C$10:$C$12,Penalty!$B$10:$B$12,"&lt;"&amp;A393))</f>
        <v>12000</v>
      </c>
      <c r="D393" s="25" t="n">
        <f aca="false">IF(A393&lt;=Penalty!$B$8,C393+F392+IF(A393&gt;Penalty!$B$19,Penalty!$I$5,0)+G392,0)</f>
        <v>0</v>
      </c>
      <c r="E393" s="26" t="n">
        <f aca="false">D393*B393/365</f>
        <v>0</v>
      </c>
      <c r="F393" s="25" t="n">
        <f aca="false">F392+E393*(1-IF(D393&gt;0,(IF(A393&gt;Penalty!$B$19,Penalty!$I$5,0)+G392)/D393,0))</f>
        <v>345.789278153858</v>
      </c>
      <c r="G393" s="25" t="n">
        <f aca="false">G392+E393*IF(D393&gt;0,(IF(A393&gt;Penalty!$B$19,Penalty!$I$5,0)+G392)/D393,0)</f>
        <v>46.6815525507708</v>
      </c>
    </row>
    <row r="394" customFormat="false" ht="15" hidden="false" customHeight="false" outlineLevel="0" collapsed="false">
      <c r="A394" s="23" t="n">
        <f aca="false">Penalty!$B$5+390</f>
        <v>46517</v>
      </c>
      <c r="B394" s="24" t="n">
        <f aca="false">IF(YEAR(A394)&gt;2026,Penalty!$B$16/100,IFERROR(INDEX(Rates!$B$4:$E$15,MATCH(YEAR(A394),Rates!$A$4:$A$15,0),ROUNDUP(MONTH(A394)/3,0))/100,0.03))</f>
        <v>0.07</v>
      </c>
      <c r="C394" s="25" t="n">
        <f aca="false">MAX(0,Penalty!$B$4-SUMIFS(Penalty!$C$10:$C$12,Penalty!$B$10:$B$12,"&lt;"&amp;A394))</f>
        <v>12000</v>
      </c>
      <c r="D394" s="25" t="n">
        <f aca="false">IF(A394&lt;=Penalty!$B$8,C394+F393+IF(A394&gt;Penalty!$B$19,Penalty!$I$5,0)+G393,0)</f>
        <v>0</v>
      </c>
      <c r="E394" s="26" t="n">
        <f aca="false">D394*B394/365</f>
        <v>0</v>
      </c>
      <c r="F394" s="25" t="n">
        <f aca="false">F393+E394*(1-IF(D394&gt;0,(IF(A394&gt;Penalty!$B$19,Penalty!$I$5,0)+G393)/D394,0))</f>
        <v>345.789278153858</v>
      </c>
      <c r="G394" s="25" t="n">
        <f aca="false">G393+E394*IF(D394&gt;0,(IF(A394&gt;Penalty!$B$19,Penalty!$I$5,0)+G393)/D394,0)</f>
        <v>46.6815525507708</v>
      </c>
    </row>
    <row r="395" customFormat="false" ht="15" hidden="false" customHeight="false" outlineLevel="0" collapsed="false">
      <c r="A395" s="23" t="n">
        <f aca="false">Penalty!$B$5+391</f>
        <v>46518</v>
      </c>
      <c r="B395" s="24" t="n">
        <f aca="false">IF(YEAR(A395)&gt;2026,Penalty!$B$16/100,IFERROR(INDEX(Rates!$B$4:$E$15,MATCH(YEAR(A395),Rates!$A$4:$A$15,0),ROUNDUP(MONTH(A395)/3,0))/100,0.03))</f>
        <v>0.07</v>
      </c>
      <c r="C395" s="25" t="n">
        <f aca="false">MAX(0,Penalty!$B$4-SUMIFS(Penalty!$C$10:$C$12,Penalty!$B$10:$B$12,"&lt;"&amp;A395))</f>
        <v>12000</v>
      </c>
      <c r="D395" s="25" t="n">
        <f aca="false">IF(A395&lt;=Penalty!$B$8,C395+F394+IF(A395&gt;Penalty!$B$19,Penalty!$I$5,0)+G394,0)</f>
        <v>0</v>
      </c>
      <c r="E395" s="26" t="n">
        <f aca="false">D395*B395/365</f>
        <v>0</v>
      </c>
      <c r="F395" s="25" t="n">
        <f aca="false">F394+E395*(1-IF(D395&gt;0,(IF(A395&gt;Penalty!$B$19,Penalty!$I$5,0)+G394)/D395,0))</f>
        <v>345.789278153858</v>
      </c>
      <c r="G395" s="25" t="n">
        <f aca="false">G394+E395*IF(D395&gt;0,(IF(A395&gt;Penalty!$B$19,Penalty!$I$5,0)+G394)/D395,0)</f>
        <v>46.6815525507708</v>
      </c>
    </row>
    <row r="396" customFormat="false" ht="15" hidden="false" customHeight="false" outlineLevel="0" collapsed="false">
      <c r="A396" s="23" t="n">
        <f aca="false">Penalty!$B$5+392</f>
        <v>46519</v>
      </c>
      <c r="B396" s="24" t="n">
        <f aca="false">IF(YEAR(A396)&gt;2026,Penalty!$B$16/100,IFERROR(INDEX(Rates!$B$4:$E$15,MATCH(YEAR(A396),Rates!$A$4:$A$15,0),ROUNDUP(MONTH(A396)/3,0))/100,0.03))</f>
        <v>0.07</v>
      </c>
      <c r="C396" s="25" t="n">
        <f aca="false">MAX(0,Penalty!$B$4-SUMIFS(Penalty!$C$10:$C$12,Penalty!$B$10:$B$12,"&lt;"&amp;A396))</f>
        <v>12000</v>
      </c>
      <c r="D396" s="25" t="n">
        <f aca="false">IF(A396&lt;=Penalty!$B$8,C396+F395+IF(A396&gt;Penalty!$B$19,Penalty!$I$5,0)+G395,0)</f>
        <v>0</v>
      </c>
      <c r="E396" s="26" t="n">
        <f aca="false">D396*B396/365</f>
        <v>0</v>
      </c>
      <c r="F396" s="25" t="n">
        <f aca="false">F395+E396*(1-IF(D396&gt;0,(IF(A396&gt;Penalty!$B$19,Penalty!$I$5,0)+G395)/D396,0))</f>
        <v>345.789278153858</v>
      </c>
      <c r="G396" s="25" t="n">
        <f aca="false">G395+E396*IF(D396&gt;0,(IF(A396&gt;Penalty!$B$19,Penalty!$I$5,0)+G395)/D396,0)</f>
        <v>46.6815525507708</v>
      </c>
    </row>
    <row r="397" customFormat="false" ht="15" hidden="false" customHeight="false" outlineLevel="0" collapsed="false">
      <c r="A397" s="23" t="n">
        <f aca="false">Penalty!$B$5+393</f>
        <v>46520</v>
      </c>
      <c r="B397" s="24" t="n">
        <f aca="false">IF(YEAR(A397)&gt;2026,Penalty!$B$16/100,IFERROR(INDEX(Rates!$B$4:$E$15,MATCH(YEAR(A397),Rates!$A$4:$A$15,0),ROUNDUP(MONTH(A397)/3,0))/100,0.03))</f>
        <v>0.07</v>
      </c>
      <c r="C397" s="25" t="n">
        <f aca="false">MAX(0,Penalty!$B$4-SUMIFS(Penalty!$C$10:$C$12,Penalty!$B$10:$B$12,"&lt;"&amp;A397))</f>
        <v>12000</v>
      </c>
      <c r="D397" s="25" t="n">
        <f aca="false">IF(A397&lt;=Penalty!$B$8,C397+F396+IF(A397&gt;Penalty!$B$19,Penalty!$I$5,0)+G396,0)</f>
        <v>0</v>
      </c>
      <c r="E397" s="26" t="n">
        <f aca="false">D397*B397/365</f>
        <v>0</v>
      </c>
      <c r="F397" s="25" t="n">
        <f aca="false">F396+E397*(1-IF(D397&gt;0,(IF(A397&gt;Penalty!$B$19,Penalty!$I$5,0)+G396)/D397,0))</f>
        <v>345.789278153858</v>
      </c>
      <c r="G397" s="25" t="n">
        <f aca="false">G396+E397*IF(D397&gt;0,(IF(A397&gt;Penalty!$B$19,Penalty!$I$5,0)+G396)/D397,0)</f>
        <v>46.6815525507708</v>
      </c>
    </row>
    <row r="398" customFormat="false" ht="15" hidden="false" customHeight="false" outlineLevel="0" collapsed="false">
      <c r="A398" s="23" t="n">
        <f aca="false">Penalty!$B$5+394</f>
        <v>46521</v>
      </c>
      <c r="B398" s="24" t="n">
        <f aca="false">IF(YEAR(A398)&gt;2026,Penalty!$B$16/100,IFERROR(INDEX(Rates!$B$4:$E$15,MATCH(YEAR(A398),Rates!$A$4:$A$15,0),ROUNDUP(MONTH(A398)/3,0))/100,0.03))</f>
        <v>0.07</v>
      </c>
      <c r="C398" s="25" t="n">
        <f aca="false">MAX(0,Penalty!$B$4-SUMIFS(Penalty!$C$10:$C$12,Penalty!$B$10:$B$12,"&lt;"&amp;A398))</f>
        <v>12000</v>
      </c>
      <c r="D398" s="25" t="n">
        <f aca="false">IF(A398&lt;=Penalty!$B$8,C398+F397+IF(A398&gt;Penalty!$B$19,Penalty!$I$5,0)+G397,0)</f>
        <v>0</v>
      </c>
      <c r="E398" s="26" t="n">
        <f aca="false">D398*B398/365</f>
        <v>0</v>
      </c>
      <c r="F398" s="25" t="n">
        <f aca="false">F397+E398*(1-IF(D398&gt;0,(IF(A398&gt;Penalty!$B$19,Penalty!$I$5,0)+G397)/D398,0))</f>
        <v>345.789278153858</v>
      </c>
      <c r="G398" s="25" t="n">
        <f aca="false">G397+E398*IF(D398&gt;0,(IF(A398&gt;Penalty!$B$19,Penalty!$I$5,0)+G397)/D398,0)</f>
        <v>46.6815525507708</v>
      </c>
    </row>
    <row r="399" customFormat="false" ht="15" hidden="false" customHeight="false" outlineLevel="0" collapsed="false">
      <c r="A399" s="23" t="n">
        <f aca="false">Penalty!$B$5+395</f>
        <v>46522</v>
      </c>
      <c r="B399" s="24" t="n">
        <f aca="false">IF(YEAR(A399)&gt;2026,Penalty!$B$16/100,IFERROR(INDEX(Rates!$B$4:$E$15,MATCH(YEAR(A399),Rates!$A$4:$A$15,0),ROUNDUP(MONTH(A399)/3,0))/100,0.03))</f>
        <v>0.07</v>
      </c>
      <c r="C399" s="25" t="n">
        <f aca="false">MAX(0,Penalty!$B$4-SUMIFS(Penalty!$C$10:$C$12,Penalty!$B$10:$B$12,"&lt;"&amp;A399))</f>
        <v>12000</v>
      </c>
      <c r="D399" s="25" t="n">
        <f aca="false">IF(A399&lt;=Penalty!$B$8,C399+F398+IF(A399&gt;Penalty!$B$19,Penalty!$I$5,0)+G398,0)</f>
        <v>0</v>
      </c>
      <c r="E399" s="26" t="n">
        <f aca="false">D399*B399/365</f>
        <v>0</v>
      </c>
      <c r="F399" s="25" t="n">
        <f aca="false">F398+E399*(1-IF(D399&gt;0,(IF(A399&gt;Penalty!$B$19,Penalty!$I$5,0)+G398)/D399,0))</f>
        <v>345.789278153858</v>
      </c>
      <c r="G399" s="25" t="n">
        <f aca="false">G398+E399*IF(D399&gt;0,(IF(A399&gt;Penalty!$B$19,Penalty!$I$5,0)+G398)/D399,0)</f>
        <v>46.6815525507708</v>
      </c>
    </row>
    <row r="400" customFormat="false" ht="15" hidden="false" customHeight="false" outlineLevel="0" collapsed="false">
      <c r="A400" s="23" t="n">
        <f aca="false">Penalty!$B$5+396</f>
        <v>46523</v>
      </c>
      <c r="B400" s="24" t="n">
        <f aca="false">IF(YEAR(A400)&gt;2026,Penalty!$B$16/100,IFERROR(INDEX(Rates!$B$4:$E$15,MATCH(YEAR(A400),Rates!$A$4:$A$15,0),ROUNDUP(MONTH(A400)/3,0))/100,0.03))</f>
        <v>0.07</v>
      </c>
      <c r="C400" s="25" t="n">
        <f aca="false">MAX(0,Penalty!$B$4-SUMIFS(Penalty!$C$10:$C$12,Penalty!$B$10:$B$12,"&lt;"&amp;A400))</f>
        <v>12000</v>
      </c>
      <c r="D400" s="25" t="n">
        <f aca="false">IF(A400&lt;=Penalty!$B$8,C400+F399+IF(A400&gt;Penalty!$B$19,Penalty!$I$5,0)+G399,0)</f>
        <v>0</v>
      </c>
      <c r="E400" s="26" t="n">
        <f aca="false">D400*B400/365</f>
        <v>0</v>
      </c>
      <c r="F400" s="25" t="n">
        <f aca="false">F399+E400*(1-IF(D400&gt;0,(IF(A400&gt;Penalty!$B$19,Penalty!$I$5,0)+G399)/D400,0))</f>
        <v>345.789278153858</v>
      </c>
      <c r="G400" s="25" t="n">
        <f aca="false">G399+E400*IF(D400&gt;0,(IF(A400&gt;Penalty!$B$19,Penalty!$I$5,0)+G399)/D400,0)</f>
        <v>46.6815525507708</v>
      </c>
    </row>
    <row r="401" customFormat="false" ht="15" hidden="false" customHeight="false" outlineLevel="0" collapsed="false">
      <c r="A401" s="23" t="n">
        <f aca="false">Penalty!$B$5+397</f>
        <v>46524</v>
      </c>
      <c r="B401" s="24" t="n">
        <f aca="false">IF(YEAR(A401)&gt;2026,Penalty!$B$16/100,IFERROR(INDEX(Rates!$B$4:$E$15,MATCH(YEAR(A401),Rates!$A$4:$A$15,0),ROUNDUP(MONTH(A401)/3,0))/100,0.03))</f>
        <v>0.07</v>
      </c>
      <c r="C401" s="25" t="n">
        <f aca="false">MAX(0,Penalty!$B$4-SUMIFS(Penalty!$C$10:$C$12,Penalty!$B$10:$B$12,"&lt;"&amp;A401))</f>
        <v>12000</v>
      </c>
      <c r="D401" s="25" t="n">
        <f aca="false">IF(A401&lt;=Penalty!$B$8,C401+F400+IF(A401&gt;Penalty!$B$19,Penalty!$I$5,0)+G400,0)</f>
        <v>0</v>
      </c>
      <c r="E401" s="26" t="n">
        <f aca="false">D401*B401/365</f>
        <v>0</v>
      </c>
      <c r="F401" s="25" t="n">
        <f aca="false">F400+E401*(1-IF(D401&gt;0,(IF(A401&gt;Penalty!$B$19,Penalty!$I$5,0)+G400)/D401,0))</f>
        <v>345.789278153858</v>
      </c>
      <c r="G401" s="25" t="n">
        <f aca="false">G400+E401*IF(D401&gt;0,(IF(A401&gt;Penalty!$B$19,Penalty!$I$5,0)+G400)/D401,0)</f>
        <v>46.6815525507708</v>
      </c>
    </row>
    <row r="402" customFormat="false" ht="15" hidden="false" customHeight="false" outlineLevel="0" collapsed="false">
      <c r="A402" s="23" t="n">
        <f aca="false">Penalty!$B$5+398</f>
        <v>46525</v>
      </c>
      <c r="B402" s="24" t="n">
        <f aca="false">IF(YEAR(A402)&gt;2026,Penalty!$B$16/100,IFERROR(INDEX(Rates!$B$4:$E$15,MATCH(YEAR(A402),Rates!$A$4:$A$15,0),ROUNDUP(MONTH(A402)/3,0))/100,0.03))</f>
        <v>0.07</v>
      </c>
      <c r="C402" s="25" t="n">
        <f aca="false">MAX(0,Penalty!$B$4-SUMIFS(Penalty!$C$10:$C$12,Penalty!$B$10:$B$12,"&lt;"&amp;A402))</f>
        <v>12000</v>
      </c>
      <c r="D402" s="25" t="n">
        <f aca="false">IF(A402&lt;=Penalty!$B$8,C402+F401+IF(A402&gt;Penalty!$B$19,Penalty!$I$5,0)+G401,0)</f>
        <v>0</v>
      </c>
      <c r="E402" s="26" t="n">
        <f aca="false">D402*B402/365</f>
        <v>0</v>
      </c>
      <c r="F402" s="25" t="n">
        <f aca="false">F401+E402*(1-IF(D402&gt;0,(IF(A402&gt;Penalty!$B$19,Penalty!$I$5,0)+G401)/D402,0))</f>
        <v>345.789278153858</v>
      </c>
      <c r="G402" s="25" t="n">
        <f aca="false">G401+E402*IF(D402&gt;0,(IF(A402&gt;Penalty!$B$19,Penalty!$I$5,0)+G401)/D402,0)</f>
        <v>46.6815525507708</v>
      </c>
    </row>
    <row r="403" customFormat="false" ht="15" hidden="false" customHeight="false" outlineLevel="0" collapsed="false">
      <c r="A403" s="23" t="n">
        <f aca="false">Penalty!$B$5+399</f>
        <v>46526</v>
      </c>
      <c r="B403" s="24" t="n">
        <f aca="false">IF(YEAR(A403)&gt;2026,Penalty!$B$16/100,IFERROR(INDEX(Rates!$B$4:$E$15,MATCH(YEAR(A403),Rates!$A$4:$A$15,0),ROUNDUP(MONTH(A403)/3,0))/100,0.03))</f>
        <v>0.07</v>
      </c>
      <c r="C403" s="25" t="n">
        <f aca="false">MAX(0,Penalty!$B$4-SUMIFS(Penalty!$C$10:$C$12,Penalty!$B$10:$B$12,"&lt;"&amp;A403))</f>
        <v>12000</v>
      </c>
      <c r="D403" s="25" t="n">
        <f aca="false">IF(A403&lt;=Penalty!$B$8,C403+F402+IF(A403&gt;Penalty!$B$19,Penalty!$I$5,0)+G402,0)</f>
        <v>0</v>
      </c>
      <c r="E403" s="26" t="n">
        <f aca="false">D403*B403/365</f>
        <v>0</v>
      </c>
      <c r="F403" s="25" t="n">
        <f aca="false">F402+E403*(1-IF(D403&gt;0,(IF(A403&gt;Penalty!$B$19,Penalty!$I$5,0)+G402)/D403,0))</f>
        <v>345.789278153858</v>
      </c>
      <c r="G403" s="25" t="n">
        <f aca="false">G402+E403*IF(D403&gt;0,(IF(A403&gt;Penalty!$B$19,Penalty!$I$5,0)+G402)/D403,0)</f>
        <v>46.6815525507708</v>
      </c>
    </row>
    <row r="404" customFormat="false" ht="15" hidden="false" customHeight="false" outlineLevel="0" collapsed="false">
      <c r="A404" s="23" t="n">
        <f aca="false">Penalty!$B$5+400</f>
        <v>46527</v>
      </c>
      <c r="B404" s="24" t="n">
        <f aca="false">IF(YEAR(A404)&gt;2026,Penalty!$B$16/100,IFERROR(INDEX(Rates!$B$4:$E$15,MATCH(YEAR(A404),Rates!$A$4:$A$15,0),ROUNDUP(MONTH(A404)/3,0))/100,0.03))</f>
        <v>0.07</v>
      </c>
      <c r="C404" s="25" t="n">
        <f aca="false">MAX(0,Penalty!$B$4-SUMIFS(Penalty!$C$10:$C$12,Penalty!$B$10:$B$12,"&lt;"&amp;A404))</f>
        <v>12000</v>
      </c>
      <c r="D404" s="25" t="n">
        <f aca="false">IF(A404&lt;=Penalty!$B$8,C404+F403+IF(A404&gt;Penalty!$B$19,Penalty!$I$5,0)+G403,0)</f>
        <v>0</v>
      </c>
      <c r="E404" s="26" t="n">
        <f aca="false">D404*B404/365</f>
        <v>0</v>
      </c>
      <c r="F404" s="25" t="n">
        <f aca="false">F403+E404*(1-IF(D404&gt;0,(IF(A404&gt;Penalty!$B$19,Penalty!$I$5,0)+G403)/D404,0))</f>
        <v>345.789278153858</v>
      </c>
      <c r="G404" s="25" t="n">
        <f aca="false">G403+E404*IF(D404&gt;0,(IF(A404&gt;Penalty!$B$19,Penalty!$I$5,0)+G403)/D404,0)</f>
        <v>46.6815525507708</v>
      </c>
    </row>
    <row r="405" customFormat="false" ht="15" hidden="false" customHeight="false" outlineLevel="0" collapsed="false">
      <c r="A405" s="23" t="n">
        <f aca="false">Penalty!$B$5+401</f>
        <v>46528</v>
      </c>
      <c r="B405" s="24" t="n">
        <f aca="false">IF(YEAR(A405)&gt;2026,Penalty!$B$16/100,IFERROR(INDEX(Rates!$B$4:$E$15,MATCH(YEAR(A405),Rates!$A$4:$A$15,0),ROUNDUP(MONTH(A405)/3,0))/100,0.03))</f>
        <v>0.07</v>
      </c>
      <c r="C405" s="25" t="n">
        <f aca="false">MAX(0,Penalty!$B$4-SUMIFS(Penalty!$C$10:$C$12,Penalty!$B$10:$B$12,"&lt;"&amp;A405))</f>
        <v>12000</v>
      </c>
      <c r="D405" s="25" t="n">
        <f aca="false">IF(A405&lt;=Penalty!$B$8,C405+F404+IF(A405&gt;Penalty!$B$19,Penalty!$I$5,0)+G404,0)</f>
        <v>0</v>
      </c>
      <c r="E405" s="26" t="n">
        <f aca="false">D405*B405/365</f>
        <v>0</v>
      </c>
      <c r="F405" s="25" t="n">
        <f aca="false">F404+E405*(1-IF(D405&gt;0,(IF(A405&gt;Penalty!$B$19,Penalty!$I$5,0)+G404)/D405,0))</f>
        <v>345.789278153858</v>
      </c>
      <c r="G405" s="25" t="n">
        <f aca="false">G404+E405*IF(D405&gt;0,(IF(A405&gt;Penalty!$B$19,Penalty!$I$5,0)+G404)/D405,0)</f>
        <v>46.6815525507708</v>
      </c>
    </row>
    <row r="406" customFormat="false" ht="15" hidden="false" customHeight="false" outlineLevel="0" collapsed="false">
      <c r="A406" s="23" t="n">
        <f aca="false">Penalty!$B$5+402</f>
        <v>46529</v>
      </c>
      <c r="B406" s="24" t="n">
        <f aca="false">IF(YEAR(A406)&gt;2026,Penalty!$B$16/100,IFERROR(INDEX(Rates!$B$4:$E$15,MATCH(YEAR(A406),Rates!$A$4:$A$15,0),ROUNDUP(MONTH(A406)/3,0))/100,0.03))</f>
        <v>0.07</v>
      </c>
      <c r="C406" s="25" t="n">
        <f aca="false">MAX(0,Penalty!$B$4-SUMIFS(Penalty!$C$10:$C$12,Penalty!$B$10:$B$12,"&lt;"&amp;A406))</f>
        <v>12000</v>
      </c>
      <c r="D406" s="25" t="n">
        <f aca="false">IF(A406&lt;=Penalty!$B$8,C406+F405+IF(A406&gt;Penalty!$B$19,Penalty!$I$5,0)+G405,0)</f>
        <v>0</v>
      </c>
      <c r="E406" s="26" t="n">
        <f aca="false">D406*B406/365</f>
        <v>0</v>
      </c>
      <c r="F406" s="25" t="n">
        <f aca="false">F405+E406*(1-IF(D406&gt;0,(IF(A406&gt;Penalty!$B$19,Penalty!$I$5,0)+G405)/D406,0))</f>
        <v>345.789278153858</v>
      </c>
      <c r="G406" s="25" t="n">
        <f aca="false">G405+E406*IF(D406&gt;0,(IF(A406&gt;Penalty!$B$19,Penalty!$I$5,0)+G405)/D406,0)</f>
        <v>46.6815525507708</v>
      </c>
    </row>
    <row r="407" customFormat="false" ht="15" hidden="false" customHeight="false" outlineLevel="0" collapsed="false">
      <c r="A407" s="23" t="n">
        <f aca="false">Penalty!$B$5+403</f>
        <v>46530</v>
      </c>
      <c r="B407" s="24" t="n">
        <f aca="false">IF(YEAR(A407)&gt;2026,Penalty!$B$16/100,IFERROR(INDEX(Rates!$B$4:$E$15,MATCH(YEAR(A407),Rates!$A$4:$A$15,0),ROUNDUP(MONTH(A407)/3,0))/100,0.03))</f>
        <v>0.07</v>
      </c>
      <c r="C407" s="25" t="n">
        <f aca="false">MAX(0,Penalty!$B$4-SUMIFS(Penalty!$C$10:$C$12,Penalty!$B$10:$B$12,"&lt;"&amp;A407))</f>
        <v>12000</v>
      </c>
      <c r="D407" s="25" t="n">
        <f aca="false">IF(A407&lt;=Penalty!$B$8,C407+F406+IF(A407&gt;Penalty!$B$19,Penalty!$I$5,0)+G406,0)</f>
        <v>0</v>
      </c>
      <c r="E407" s="26" t="n">
        <f aca="false">D407*B407/365</f>
        <v>0</v>
      </c>
      <c r="F407" s="25" t="n">
        <f aca="false">F406+E407*(1-IF(D407&gt;0,(IF(A407&gt;Penalty!$B$19,Penalty!$I$5,0)+G406)/D407,0))</f>
        <v>345.789278153858</v>
      </c>
      <c r="G407" s="25" t="n">
        <f aca="false">G406+E407*IF(D407&gt;0,(IF(A407&gt;Penalty!$B$19,Penalty!$I$5,0)+G406)/D407,0)</f>
        <v>46.6815525507708</v>
      </c>
    </row>
    <row r="408" customFormat="false" ht="15" hidden="false" customHeight="false" outlineLevel="0" collapsed="false">
      <c r="A408" s="23" t="n">
        <f aca="false">Penalty!$B$5+404</f>
        <v>46531</v>
      </c>
      <c r="B408" s="24" t="n">
        <f aca="false">IF(YEAR(A408)&gt;2026,Penalty!$B$16/100,IFERROR(INDEX(Rates!$B$4:$E$15,MATCH(YEAR(A408),Rates!$A$4:$A$15,0),ROUNDUP(MONTH(A408)/3,0))/100,0.03))</f>
        <v>0.07</v>
      </c>
      <c r="C408" s="25" t="n">
        <f aca="false">MAX(0,Penalty!$B$4-SUMIFS(Penalty!$C$10:$C$12,Penalty!$B$10:$B$12,"&lt;"&amp;A408))</f>
        <v>12000</v>
      </c>
      <c r="D408" s="25" t="n">
        <f aca="false">IF(A408&lt;=Penalty!$B$8,C408+F407+IF(A408&gt;Penalty!$B$19,Penalty!$I$5,0)+G407,0)</f>
        <v>0</v>
      </c>
      <c r="E408" s="26" t="n">
        <f aca="false">D408*B408/365</f>
        <v>0</v>
      </c>
      <c r="F408" s="25" t="n">
        <f aca="false">F407+E408*(1-IF(D408&gt;0,(IF(A408&gt;Penalty!$B$19,Penalty!$I$5,0)+G407)/D408,0))</f>
        <v>345.789278153858</v>
      </c>
      <c r="G408" s="25" t="n">
        <f aca="false">G407+E408*IF(D408&gt;0,(IF(A408&gt;Penalty!$B$19,Penalty!$I$5,0)+G407)/D408,0)</f>
        <v>46.6815525507708</v>
      </c>
    </row>
    <row r="409" customFormat="false" ht="15" hidden="false" customHeight="false" outlineLevel="0" collapsed="false">
      <c r="A409" s="23" t="n">
        <f aca="false">Penalty!$B$5+405</f>
        <v>46532</v>
      </c>
      <c r="B409" s="24" t="n">
        <f aca="false">IF(YEAR(A409)&gt;2026,Penalty!$B$16/100,IFERROR(INDEX(Rates!$B$4:$E$15,MATCH(YEAR(A409),Rates!$A$4:$A$15,0),ROUNDUP(MONTH(A409)/3,0))/100,0.03))</f>
        <v>0.07</v>
      </c>
      <c r="C409" s="25" t="n">
        <f aca="false">MAX(0,Penalty!$B$4-SUMIFS(Penalty!$C$10:$C$12,Penalty!$B$10:$B$12,"&lt;"&amp;A409))</f>
        <v>12000</v>
      </c>
      <c r="D409" s="25" t="n">
        <f aca="false">IF(A409&lt;=Penalty!$B$8,C409+F408+IF(A409&gt;Penalty!$B$19,Penalty!$I$5,0)+G408,0)</f>
        <v>0</v>
      </c>
      <c r="E409" s="26" t="n">
        <f aca="false">D409*B409/365</f>
        <v>0</v>
      </c>
      <c r="F409" s="25" t="n">
        <f aca="false">F408+E409*(1-IF(D409&gt;0,(IF(A409&gt;Penalty!$B$19,Penalty!$I$5,0)+G408)/D409,0))</f>
        <v>345.789278153858</v>
      </c>
      <c r="G409" s="25" t="n">
        <f aca="false">G408+E409*IF(D409&gt;0,(IF(A409&gt;Penalty!$B$19,Penalty!$I$5,0)+G408)/D409,0)</f>
        <v>46.6815525507708</v>
      </c>
    </row>
    <row r="410" customFormat="false" ht="15" hidden="false" customHeight="false" outlineLevel="0" collapsed="false">
      <c r="A410" s="23" t="n">
        <f aca="false">Penalty!$B$5+406</f>
        <v>46533</v>
      </c>
      <c r="B410" s="24" t="n">
        <f aca="false">IF(YEAR(A410)&gt;2026,Penalty!$B$16/100,IFERROR(INDEX(Rates!$B$4:$E$15,MATCH(YEAR(A410),Rates!$A$4:$A$15,0),ROUNDUP(MONTH(A410)/3,0))/100,0.03))</f>
        <v>0.07</v>
      </c>
      <c r="C410" s="25" t="n">
        <f aca="false">MAX(0,Penalty!$B$4-SUMIFS(Penalty!$C$10:$C$12,Penalty!$B$10:$B$12,"&lt;"&amp;A410))</f>
        <v>12000</v>
      </c>
      <c r="D410" s="25" t="n">
        <f aca="false">IF(A410&lt;=Penalty!$B$8,C410+F409+IF(A410&gt;Penalty!$B$19,Penalty!$I$5,0)+G409,0)</f>
        <v>0</v>
      </c>
      <c r="E410" s="26" t="n">
        <f aca="false">D410*B410/365</f>
        <v>0</v>
      </c>
      <c r="F410" s="25" t="n">
        <f aca="false">F409+E410*(1-IF(D410&gt;0,(IF(A410&gt;Penalty!$B$19,Penalty!$I$5,0)+G409)/D410,0))</f>
        <v>345.789278153858</v>
      </c>
      <c r="G410" s="25" t="n">
        <f aca="false">G409+E410*IF(D410&gt;0,(IF(A410&gt;Penalty!$B$19,Penalty!$I$5,0)+G409)/D410,0)</f>
        <v>46.6815525507708</v>
      </c>
    </row>
    <row r="411" customFormat="false" ht="15" hidden="false" customHeight="false" outlineLevel="0" collapsed="false">
      <c r="A411" s="23" t="n">
        <f aca="false">Penalty!$B$5+407</f>
        <v>46534</v>
      </c>
      <c r="B411" s="24" t="n">
        <f aca="false">IF(YEAR(A411)&gt;2026,Penalty!$B$16/100,IFERROR(INDEX(Rates!$B$4:$E$15,MATCH(YEAR(A411),Rates!$A$4:$A$15,0),ROUNDUP(MONTH(A411)/3,0))/100,0.03))</f>
        <v>0.07</v>
      </c>
      <c r="C411" s="25" t="n">
        <f aca="false">MAX(0,Penalty!$B$4-SUMIFS(Penalty!$C$10:$C$12,Penalty!$B$10:$B$12,"&lt;"&amp;A411))</f>
        <v>12000</v>
      </c>
      <c r="D411" s="25" t="n">
        <f aca="false">IF(A411&lt;=Penalty!$B$8,C411+F410+IF(A411&gt;Penalty!$B$19,Penalty!$I$5,0)+G410,0)</f>
        <v>0</v>
      </c>
      <c r="E411" s="26" t="n">
        <f aca="false">D411*B411/365</f>
        <v>0</v>
      </c>
      <c r="F411" s="25" t="n">
        <f aca="false">F410+E411*(1-IF(D411&gt;0,(IF(A411&gt;Penalty!$B$19,Penalty!$I$5,0)+G410)/D411,0))</f>
        <v>345.789278153858</v>
      </c>
      <c r="G411" s="25" t="n">
        <f aca="false">G410+E411*IF(D411&gt;0,(IF(A411&gt;Penalty!$B$19,Penalty!$I$5,0)+G410)/D411,0)</f>
        <v>46.6815525507708</v>
      </c>
    </row>
    <row r="412" customFormat="false" ht="15" hidden="false" customHeight="false" outlineLevel="0" collapsed="false">
      <c r="A412" s="23" t="n">
        <f aca="false">Penalty!$B$5+408</f>
        <v>46535</v>
      </c>
      <c r="B412" s="24" t="n">
        <f aca="false">IF(YEAR(A412)&gt;2026,Penalty!$B$16/100,IFERROR(INDEX(Rates!$B$4:$E$15,MATCH(YEAR(A412),Rates!$A$4:$A$15,0),ROUNDUP(MONTH(A412)/3,0))/100,0.03))</f>
        <v>0.07</v>
      </c>
      <c r="C412" s="25" t="n">
        <f aca="false">MAX(0,Penalty!$B$4-SUMIFS(Penalty!$C$10:$C$12,Penalty!$B$10:$B$12,"&lt;"&amp;A412))</f>
        <v>12000</v>
      </c>
      <c r="D412" s="25" t="n">
        <f aca="false">IF(A412&lt;=Penalty!$B$8,C412+F411+IF(A412&gt;Penalty!$B$19,Penalty!$I$5,0)+G411,0)</f>
        <v>0</v>
      </c>
      <c r="E412" s="26" t="n">
        <f aca="false">D412*B412/365</f>
        <v>0</v>
      </c>
      <c r="F412" s="25" t="n">
        <f aca="false">F411+E412*(1-IF(D412&gt;0,(IF(A412&gt;Penalty!$B$19,Penalty!$I$5,0)+G411)/D412,0))</f>
        <v>345.789278153858</v>
      </c>
      <c r="G412" s="25" t="n">
        <f aca="false">G411+E412*IF(D412&gt;0,(IF(A412&gt;Penalty!$B$19,Penalty!$I$5,0)+G411)/D412,0)</f>
        <v>46.6815525507708</v>
      </c>
    </row>
    <row r="413" customFormat="false" ht="15" hidden="false" customHeight="false" outlineLevel="0" collapsed="false">
      <c r="A413" s="23" t="n">
        <f aca="false">Penalty!$B$5+409</f>
        <v>46536</v>
      </c>
      <c r="B413" s="24" t="n">
        <f aca="false">IF(YEAR(A413)&gt;2026,Penalty!$B$16/100,IFERROR(INDEX(Rates!$B$4:$E$15,MATCH(YEAR(A413),Rates!$A$4:$A$15,0),ROUNDUP(MONTH(A413)/3,0))/100,0.03))</f>
        <v>0.07</v>
      </c>
      <c r="C413" s="25" t="n">
        <f aca="false">MAX(0,Penalty!$B$4-SUMIFS(Penalty!$C$10:$C$12,Penalty!$B$10:$B$12,"&lt;"&amp;A413))</f>
        <v>12000</v>
      </c>
      <c r="D413" s="25" t="n">
        <f aca="false">IF(A413&lt;=Penalty!$B$8,C413+F412+IF(A413&gt;Penalty!$B$19,Penalty!$I$5,0)+G412,0)</f>
        <v>0</v>
      </c>
      <c r="E413" s="26" t="n">
        <f aca="false">D413*B413/365</f>
        <v>0</v>
      </c>
      <c r="F413" s="25" t="n">
        <f aca="false">F412+E413*(1-IF(D413&gt;0,(IF(A413&gt;Penalty!$B$19,Penalty!$I$5,0)+G412)/D413,0))</f>
        <v>345.789278153858</v>
      </c>
      <c r="G413" s="25" t="n">
        <f aca="false">G412+E413*IF(D413&gt;0,(IF(A413&gt;Penalty!$B$19,Penalty!$I$5,0)+G412)/D413,0)</f>
        <v>46.6815525507708</v>
      </c>
    </row>
    <row r="414" customFormat="false" ht="15" hidden="false" customHeight="false" outlineLevel="0" collapsed="false">
      <c r="A414" s="23" t="n">
        <f aca="false">Penalty!$B$5+410</f>
        <v>46537</v>
      </c>
      <c r="B414" s="24" t="n">
        <f aca="false">IF(YEAR(A414)&gt;2026,Penalty!$B$16/100,IFERROR(INDEX(Rates!$B$4:$E$15,MATCH(YEAR(A414),Rates!$A$4:$A$15,0),ROUNDUP(MONTH(A414)/3,0))/100,0.03))</f>
        <v>0.07</v>
      </c>
      <c r="C414" s="25" t="n">
        <f aca="false">MAX(0,Penalty!$B$4-SUMIFS(Penalty!$C$10:$C$12,Penalty!$B$10:$B$12,"&lt;"&amp;A414))</f>
        <v>12000</v>
      </c>
      <c r="D414" s="25" t="n">
        <f aca="false">IF(A414&lt;=Penalty!$B$8,C414+F413+IF(A414&gt;Penalty!$B$19,Penalty!$I$5,0)+G413,0)</f>
        <v>0</v>
      </c>
      <c r="E414" s="26" t="n">
        <f aca="false">D414*B414/365</f>
        <v>0</v>
      </c>
      <c r="F414" s="25" t="n">
        <f aca="false">F413+E414*(1-IF(D414&gt;0,(IF(A414&gt;Penalty!$B$19,Penalty!$I$5,0)+G413)/D414,0))</f>
        <v>345.789278153858</v>
      </c>
      <c r="G414" s="25" t="n">
        <f aca="false">G413+E414*IF(D414&gt;0,(IF(A414&gt;Penalty!$B$19,Penalty!$I$5,0)+G413)/D414,0)</f>
        <v>46.6815525507708</v>
      </c>
    </row>
    <row r="415" customFormat="false" ht="15" hidden="false" customHeight="false" outlineLevel="0" collapsed="false">
      <c r="A415" s="23" t="n">
        <f aca="false">Penalty!$B$5+411</f>
        <v>46538</v>
      </c>
      <c r="B415" s="24" t="n">
        <f aca="false">IF(YEAR(A415)&gt;2026,Penalty!$B$16/100,IFERROR(INDEX(Rates!$B$4:$E$15,MATCH(YEAR(A415),Rates!$A$4:$A$15,0),ROUNDUP(MONTH(A415)/3,0))/100,0.03))</f>
        <v>0.07</v>
      </c>
      <c r="C415" s="25" t="n">
        <f aca="false">MAX(0,Penalty!$B$4-SUMIFS(Penalty!$C$10:$C$12,Penalty!$B$10:$B$12,"&lt;"&amp;A415))</f>
        <v>12000</v>
      </c>
      <c r="D415" s="25" t="n">
        <f aca="false">IF(A415&lt;=Penalty!$B$8,C415+F414+IF(A415&gt;Penalty!$B$19,Penalty!$I$5,0)+G414,0)</f>
        <v>0</v>
      </c>
      <c r="E415" s="26" t="n">
        <f aca="false">D415*B415/365</f>
        <v>0</v>
      </c>
      <c r="F415" s="25" t="n">
        <f aca="false">F414+E415*(1-IF(D415&gt;0,(IF(A415&gt;Penalty!$B$19,Penalty!$I$5,0)+G414)/D415,0))</f>
        <v>345.789278153858</v>
      </c>
      <c r="G415" s="25" t="n">
        <f aca="false">G414+E415*IF(D415&gt;0,(IF(A415&gt;Penalty!$B$19,Penalty!$I$5,0)+G414)/D415,0)</f>
        <v>46.6815525507708</v>
      </c>
    </row>
    <row r="416" customFormat="false" ht="15" hidden="false" customHeight="false" outlineLevel="0" collapsed="false">
      <c r="A416" s="23" t="n">
        <f aca="false">Penalty!$B$5+412</f>
        <v>46539</v>
      </c>
      <c r="B416" s="24" t="n">
        <f aca="false">IF(YEAR(A416)&gt;2026,Penalty!$B$16/100,IFERROR(INDEX(Rates!$B$4:$E$15,MATCH(YEAR(A416),Rates!$A$4:$A$15,0),ROUNDUP(MONTH(A416)/3,0))/100,0.03))</f>
        <v>0.07</v>
      </c>
      <c r="C416" s="25" t="n">
        <f aca="false">MAX(0,Penalty!$B$4-SUMIFS(Penalty!$C$10:$C$12,Penalty!$B$10:$B$12,"&lt;"&amp;A416))</f>
        <v>12000</v>
      </c>
      <c r="D416" s="25" t="n">
        <f aca="false">IF(A416&lt;=Penalty!$B$8,C416+F415+IF(A416&gt;Penalty!$B$19,Penalty!$I$5,0)+G415,0)</f>
        <v>0</v>
      </c>
      <c r="E416" s="26" t="n">
        <f aca="false">D416*B416/365</f>
        <v>0</v>
      </c>
      <c r="F416" s="25" t="n">
        <f aca="false">F415+E416*(1-IF(D416&gt;0,(IF(A416&gt;Penalty!$B$19,Penalty!$I$5,0)+G415)/D416,0))</f>
        <v>345.789278153858</v>
      </c>
      <c r="G416" s="25" t="n">
        <f aca="false">G415+E416*IF(D416&gt;0,(IF(A416&gt;Penalty!$B$19,Penalty!$I$5,0)+G415)/D416,0)</f>
        <v>46.6815525507708</v>
      </c>
    </row>
    <row r="417" customFormat="false" ht="15" hidden="false" customHeight="false" outlineLevel="0" collapsed="false">
      <c r="A417" s="23" t="n">
        <f aca="false">Penalty!$B$5+413</f>
        <v>46540</v>
      </c>
      <c r="B417" s="24" t="n">
        <f aca="false">IF(YEAR(A417)&gt;2026,Penalty!$B$16/100,IFERROR(INDEX(Rates!$B$4:$E$15,MATCH(YEAR(A417),Rates!$A$4:$A$15,0),ROUNDUP(MONTH(A417)/3,0))/100,0.03))</f>
        <v>0.07</v>
      </c>
      <c r="C417" s="25" t="n">
        <f aca="false">MAX(0,Penalty!$B$4-SUMIFS(Penalty!$C$10:$C$12,Penalty!$B$10:$B$12,"&lt;"&amp;A417))</f>
        <v>12000</v>
      </c>
      <c r="D417" s="25" t="n">
        <f aca="false">IF(A417&lt;=Penalty!$B$8,C417+F416+IF(A417&gt;Penalty!$B$19,Penalty!$I$5,0)+G416,0)</f>
        <v>0</v>
      </c>
      <c r="E417" s="26" t="n">
        <f aca="false">D417*B417/365</f>
        <v>0</v>
      </c>
      <c r="F417" s="25" t="n">
        <f aca="false">F416+E417*(1-IF(D417&gt;0,(IF(A417&gt;Penalty!$B$19,Penalty!$I$5,0)+G416)/D417,0))</f>
        <v>345.789278153858</v>
      </c>
      <c r="G417" s="25" t="n">
        <f aca="false">G416+E417*IF(D417&gt;0,(IF(A417&gt;Penalty!$B$19,Penalty!$I$5,0)+G416)/D417,0)</f>
        <v>46.6815525507708</v>
      </c>
    </row>
    <row r="418" customFormat="false" ht="15" hidden="false" customHeight="false" outlineLevel="0" collapsed="false">
      <c r="A418" s="23" t="n">
        <f aca="false">Penalty!$B$5+414</f>
        <v>46541</v>
      </c>
      <c r="B418" s="24" t="n">
        <f aca="false">IF(YEAR(A418)&gt;2026,Penalty!$B$16/100,IFERROR(INDEX(Rates!$B$4:$E$15,MATCH(YEAR(A418),Rates!$A$4:$A$15,0),ROUNDUP(MONTH(A418)/3,0))/100,0.03))</f>
        <v>0.07</v>
      </c>
      <c r="C418" s="25" t="n">
        <f aca="false">MAX(0,Penalty!$B$4-SUMIFS(Penalty!$C$10:$C$12,Penalty!$B$10:$B$12,"&lt;"&amp;A418))</f>
        <v>12000</v>
      </c>
      <c r="D418" s="25" t="n">
        <f aca="false">IF(A418&lt;=Penalty!$B$8,C418+F417+IF(A418&gt;Penalty!$B$19,Penalty!$I$5,0)+G417,0)</f>
        <v>0</v>
      </c>
      <c r="E418" s="26" t="n">
        <f aca="false">D418*B418/365</f>
        <v>0</v>
      </c>
      <c r="F418" s="25" t="n">
        <f aca="false">F417+E418*(1-IF(D418&gt;0,(IF(A418&gt;Penalty!$B$19,Penalty!$I$5,0)+G417)/D418,0))</f>
        <v>345.789278153858</v>
      </c>
      <c r="G418" s="25" t="n">
        <f aca="false">G417+E418*IF(D418&gt;0,(IF(A418&gt;Penalty!$B$19,Penalty!$I$5,0)+G417)/D418,0)</f>
        <v>46.6815525507708</v>
      </c>
    </row>
    <row r="419" customFormat="false" ht="15" hidden="false" customHeight="false" outlineLevel="0" collapsed="false">
      <c r="A419" s="23" t="n">
        <f aca="false">Penalty!$B$5+415</f>
        <v>46542</v>
      </c>
      <c r="B419" s="24" t="n">
        <f aca="false">IF(YEAR(A419)&gt;2026,Penalty!$B$16/100,IFERROR(INDEX(Rates!$B$4:$E$15,MATCH(YEAR(A419),Rates!$A$4:$A$15,0),ROUNDUP(MONTH(A419)/3,0))/100,0.03))</f>
        <v>0.07</v>
      </c>
      <c r="C419" s="25" t="n">
        <f aca="false">MAX(0,Penalty!$B$4-SUMIFS(Penalty!$C$10:$C$12,Penalty!$B$10:$B$12,"&lt;"&amp;A419))</f>
        <v>12000</v>
      </c>
      <c r="D419" s="25" t="n">
        <f aca="false">IF(A419&lt;=Penalty!$B$8,C419+F418+IF(A419&gt;Penalty!$B$19,Penalty!$I$5,0)+G418,0)</f>
        <v>0</v>
      </c>
      <c r="E419" s="26" t="n">
        <f aca="false">D419*B419/365</f>
        <v>0</v>
      </c>
      <c r="F419" s="25" t="n">
        <f aca="false">F418+E419*(1-IF(D419&gt;0,(IF(A419&gt;Penalty!$B$19,Penalty!$I$5,0)+G418)/D419,0))</f>
        <v>345.789278153858</v>
      </c>
      <c r="G419" s="25" t="n">
        <f aca="false">G418+E419*IF(D419&gt;0,(IF(A419&gt;Penalty!$B$19,Penalty!$I$5,0)+G418)/D419,0)</f>
        <v>46.6815525507708</v>
      </c>
    </row>
    <row r="420" customFormat="false" ht="15" hidden="false" customHeight="false" outlineLevel="0" collapsed="false">
      <c r="A420" s="23" t="n">
        <f aca="false">Penalty!$B$5+416</f>
        <v>46543</v>
      </c>
      <c r="B420" s="24" t="n">
        <f aca="false">IF(YEAR(A420)&gt;2026,Penalty!$B$16/100,IFERROR(INDEX(Rates!$B$4:$E$15,MATCH(YEAR(A420),Rates!$A$4:$A$15,0),ROUNDUP(MONTH(A420)/3,0))/100,0.03))</f>
        <v>0.07</v>
      </c>
      <c r="C420" s="25" t="n">
        <f aca="false">MAX(0,Penalty!$B$4-SUMIFS(Penalty!$C$10:$C$12,Penalty!$B$10:$B$12,"&lt;"&amp;A420))</f>
        <v>12000</v>
      </c>
      <c r="D420" s="25" t="n">
        <f aca="false">IF(A420&lt;=Penalty!$B$8,C420+F419+IF(A420&gt;Penalty!$B$19,Penalty!$I$5,0)+G419,0)</f>
        <v>0</v>
      </c>
      <c r="E420" s="26" t="n">
        <f aca="false">D420*B420/365</f>
        <v>0</v>
      </c>
      <c r="F420" s="25" t="n">
        <f aca="false">F419+E420*(1-IF(D420&gt;0,(IF(A420&gt;Penalty!$B$19,Penalty!$I$5,0)+G419)/D420,0))</f>
        <v>345.789278153858</v>
      </c>
      <c r="G420" s="25" t="n">
        <f aca="false">G419+E420*IF(D420&gt;0,(IF(A420&gt;Penalty!$B$19,Penalty!$I$5,0)+G419)/D420,0)</f>
        <v>46.6815525507708</v>
      </c>
    </row>
    <row r="421" customFormat="false" ht="15" hidden="false" customHeight="false" outlineLevel="0" collapsed="false">
      <c r="A421" s="23" t="n">
        <f aca="false">Penalty!$B$5+417</f>
        <v>46544</v>
      </c>
      <c r="B421" s="24" t="n">
        <f aca="false">IF(YEAR(A421)&gt;2026,Penalty!$B$16/100,IFERROR(INDEX(Rates!$B$4:$E$15,MATCH(YEAR(A421),Rates!$A$4:$A$15,0),ROUNDUP(MONTH(A421)/3,0))/100,0.03))</f>
        <v>0.07</v>
      </c>
      <c r="C421" s="25" t="n">
        <f aca="false">MAX(0,Penalty!$B$4-SUMIFS(Penalty!$C$10:$C$12,Penalty!$B$10:$B$12,"&lt;"&amp;A421))</f>
        <v>12000</v>
      </c>
      <c r="D421" s="25" t="n">
        <f aca="false">IF(A421&lt;=Penalty!$B$8,C421+F420+IF(A421&gt;Penalty!$B$19,Penalty!$I$5,0)+G420,0)</f>
        <v>0</v>
      </c>
      <c r="E421" s="26" t="n">
        <f aca="false">D421*B421/365</f>
        <v>0</v>
      </c>
      <c r="F421" s="25" t="n">
        <f aca="false">F420+E421*(1-IF(D421&gt;0,(IF(A421&gt;Penalty!$B$19,Penalty!$I$5,0)+G420)/D421,0))</f>
        <v>345.789278153858</v>
      </c>
      <c r="G421" s="25" t="n">
        <f aca="false">G420+E421*IF(D421&gt;0,(IF(A421&gt;Penalty!$B$19,Penalty!$I$5,0)+G420)/D421,0)</f>
        <v>46.6815525507708</v>
      </c>
    </row>
    <row r="422" customFormat="false" ht="15" hidden="false" customHeight="false" outlineLevel="0" collapsed="false">
      <c r="A422" s="23" t="n">
        <f aca="false">Penalty!$B$5+418</f>
        <v>46545</v>
      </c>
      <c r="B422" s="24" t="n">
        <f aca="false">IF(YEAR(A422)&gt;2026,Penalty!$B$16/100,IFERROR(INDEX(Rates!$B$4:$E$15,MATCH(YEAR(A422),Rates!$A$4:$A$15,0),ROUNDUP(MONTH(A422)/3,0))/100,0.03))</f>
        <v>0.07</v>
      </c>
      <c r="C422" s="25" t="n">
        <f aca="false">MAX(0,Penalty!$B$4-SUMIFS(Penalty!$C$10:$C$12,Penalty!$B$10:$B$12,"&lt;"&amp;A422))</f>
        <v>12000</v>
      </c>
      <c r="D422" s="25" t="n">
        <f aca="false">IF(A422&lt;=Penalty!$B$8,C422+F421+IF(A422&gt;Penalty!$B$19,Penalty!$I$5,0)+G421,0)</f>
        <v>0</v>
      </c>
      <c r="E422" s="26" t="n">
        <f aca="false">D422*B422/365</f>
        <v>0</v>
      </c>
      <c r="F422" s="25" t="n">
        <f aca="false">F421+E422*(1-IF(D422&gt;0,(IF(A422&gt;Penalty!$B$19,Penalty!$I$5,0)+G421)/D422,0))</f>
        <v>345.789278153858</v>
      </c>
      <c r="G422" s="25" t="n">
        <f aca="false">G421+E422*IF(D422&gt;0,(IF(A422&gt;Penalty!$B$19,Penalty!$I$5,0)+G421)/D422,0)</f>
        <v>46.6815525507708</v>
      </c>
    </row>
    <row r="423" customFormat="false" ht="15" hidden="false" customHeight="false" outlineLevel="0" collapsed="false">
      <c r="A423" s="23" t="n">
        <f aca="false">Penalty!$B$5+419</f>
        <v>46546</v>
      </c>
      <c r="B423" s="24" t="n">
        <f aca="false">IF(YEAR(A423)&gt;2026,Penalty!$B$16/100,IFERROR(INDEX(Rates!$B$4:$E$15,MATCH(YEAR(A423),Rates!$A$4:$A$15,0),ROUNDUP(MONTH(A423)/3,0))/100,0.03))</f>
        <v>0.07</v>
      </c>
      <c r="C423" s="25" t="n">
        <f aca="false">MAX(0,Penalty!$B$4-SUMIFS(Penalty!$C$10:$C$12,Penalty!$B$10:$B$12,"&lt;"&amp;A423))</f>
        <v>12000</v>
      </c>
      <c r="D423" s="25" t="n">
        <f aca="false">IF(A423&lt;=Penalty!$B$8,C423+F422+IF(A423&gt;Penalty!$B$19,Penalty!$I$5,0)+G422,0)</f>
        <v>0</v>
      </c>
      <c r="E423" s="26" t="n">
        <f aca="false">D423*B423/365</f>
        <v>0</v>
      </c>
      <c r="F423" s="25" t="n">
        <f aca="false">F422+E423*(1-IF(D423&gt;0,(IF(A423&gt;Penalty!$B$19,Penalty!$I$5,0)+G422)/D423,0))</f>
        <v>345.789278153858</v>
      </c>
      <c r="G423" s="25" t="n">
        <f aca="false">G422+E423*IF(D423&gt;0,(IF(A423&gt;Penalty!$B$19,Penalty!$I$5,0)+G422)/D423,0)</f>
        <v>46.6815525507708</v>
      </c>
    </row>
    <row r="424" customFormat="false" ht="15" hidden="false" customHeight="false" outlineLevel="0" collapsed="false">
      <c r="A424" s="23" t="n">
        <f aca="false">Penalty!$B$5+420</f>
        <v>46547</v>
      </c>
      <c r="B424" s="24" t="n">
        <f aca="false">IF(YEAR(A424)&gt;2026,Penalty!$B$16/100,IFERROR(INDEX(Rates!$B$4:$E$15,MATCH(YEAR(A424),Rates!$A$4:$A$15,0),ROUNDUP(MONTH(A424)/3,0))/100,0.03))</f>
        <v>0.07</v>
      </c>
      <c r="C424" s="25" t="n">
        <f aca="false">MAX(0,Penalty!$B$4-SUMIFS(Penalty!$C$10:$C$12,Penalty!$B$10:$B$12,"&lt;"&amp;A424))</f>
        <v>12000</v>
      </c>
      <c r="D424" s="25" t="n">
        <f aca="false">IF(A424&lt;=Penalty!$B$8,C424+F423+IF(A424&gt;Penalty!$B$19,Penalty!$I$5,0)+G423,0)</f>
        <v>0</v>
      </c>
      <c r="E424" s="26" t="n">
        <f aca="false">D424*B424/365</f>
        <v>0</v>
      </c>
      <c r="F424" s="25" t="n">
        <f aca="false">F423+E424*(1-IF(D424&gt;0,(IF(A424&gt;Penalty!$B$19,Penalty!$I$5,0)+G423)/D424,0))</f>
        <v>345.789278153858</v>
      </c>
      <c r="G424" s="25" t="n">
        <f aca="false">G423+E424*IF(D424&gt;0,(IF(A424&gt;Penalty!$B$19,Penalty!$I$5,0)+G423)/D424,0)</f>
        <v>46.6815525507708</v>
      </c>
    </row>
    <row r="425" customFormat="false" ht="15" hidden="false" customHeight="false" outlineLevel="0" collapsed="false">
      <c r="A425" s="23" t="n">
        <f aca="false">Penalty!$B$5+421</f>
        <v>46548</v>
      </c>
      <c r="B425" s="24" t="n">
        <f aca="false">IF(YEAR(A425)&gt;2026,Penalty!$B$16/100,IFERROR(INDEX(Rates!$B$4:$E$15,MATCH(YEAR(A425),Rates!$A$4:$A$15,0),ROUNDUP(MONTH(A425)/3,0))/100,0.03))</f>
        <v>0.07</v>
      </c>
      <c r="C425" s="25" t="n">
        <f aca="false">MAX(0,Penalty!$B$4-SUMIFS(Penalty!$C$10:$C$12,Penalty!$B$10:$B$12,"&lt;"&amp;A425))</f>
        <v>12000</v>
      </c>
      <c r="D425" s="25" t="n">
        <f aca="false">IF(A425&lt;=Penalty!$B$8,C425+F424+IF(A425&gt;Penalty!$B$19,Penalty!$I$5,0)+G424,0)</f>
        <v>0</v>
      </c>
      <c r="E425" s="26" t="n">
        <f aca="false">D425*B425/365</f>
        <v>0</v>
      </c>
      <c r="F425" s="25" t="n">
        <f aca="false">F424+E425*(1-IF(D425&gt;0,(IF(A425&gt;Penalty!$B$19,Penalty!$I$5,0)+G424)/D425,0))</f>
        <v>345.789278153858</v>
      </c>
      <c r="G425" s="25" t="n">
        <f aca="false">G424+E425*IF(D425&gt;0,(IF(A425&gt;Penalty!$B$19,Penalty!$I$5,0)+G424)/D425,0)</f>
        <v>46.6815525507708</v>
      </c>
    </row>
    <row r="426" customFormat="false" ht="15" hidden="false" customHeight="false" outlineLevel="0" collapsed="false">
      <c r="A426" s="23" t="n">
        <f aca="false">Penalty!$B$5+422</f>
        <v>46549</v>
      </c>
      <c r="B426" s="24" t="n">
        <f aca="false">IF(YEAR(A426)&gt;2026,Penalty!$B$16/100,IFERROR(INDEX(Rates!$B$4:$E$15,MATCH(YEAR(A426),Rates!$A$4:$A$15,0),ROUNDUP(MONTH(A426)/3,0))/100,0.03))</f>
        <v>0.07</v>
      </c>
      <c r="C426" s="25" t="n">
        <f aca="false">MAX(0,Penalty!$B$4-SUMIFS(Penalty!$C$10:$C$12,Penalty!$B$10:$B$12,"&lt;"&amp;A426))</f>
        <v>12000</v>
      </c>
      <c r="D426" s="25" t="n">
        <f aca="false">IF(A426&lt;=Penalty!$B$8,C426+F425+IF(A426&gt;Penalty!$B$19,Penalty!$I$5,0)+G425,0)</f>
        <v>0</v>
      </c>
      <c r="E426" s="26" t="n">
        <f aca="false">D426*B426/365</f>
        <v>0</v>
      </c>
      <c r="F426" s="25" t="n">
        <f aca="false">F425+E426*(1-IF(D426&gt;0,(IF(A426&gt;Penalty!$B$19,Penalty!$I$5,0)+G425)/D426,0))</f>
        <v>345.789278153858</v>
      </c>
      <c r="G426" s="25" t="n">
        <f aca="false">G425+E426*IF(D426&gt;0,(IF(A426&gt;Penalty!$B$19,Penalty!$I$5,0)+G425)/D426,0)</f>
        <v>46.6815525507708</v>
      </c>
    </row>
    <row r="427" customFormat="false" ht="15" hidden="false" customHeight="false" outlineLevel="0" collapsed="false">
      <c r="A427" s="23" t="n">
        <f aca="false">Penalty!$B$5+423</f>
        <v>46550</v>
      </c>
      <c r="B427" s="24" t="n">
        <f aca="false">IF(YEAR(A427)&gt;2026,Penalty!$B$16/100,IFERROR(INDEX(Rates!$B$4:$E$15,MATCH(YEAR(A427),Rates!$A$4:$A$15,0),ROUNDUP(MONTH(A427)/3,0))/100,0.03))</f>
        <v>0.07</v>
      </c>
      <c r="C427" s="25" t="n">
        <f aca="false">MAX(0,Penalty!$B$4-SUMIFS(Penalty!$C$10:$C$12,Penalty!$B$10:$B$12,"&lt;"&amp;A427))</f>
        <v>12000</v>
      </c>
      <c r="D427" s="25" t="n">
        <f aca="false">IF(A427&lt;=Penalty!$B$8,C427+F426+IF(A427&gt;Penalty!$B$19,Penalty!$I$5,0)+G426,0)</f>
        <v>0</v>
      </c>
      <c r="E427" s="26" t="n">
        <f aca="false">D427*B427/365</f>
        <v>0</v>
      </c>
      <c r="F427" s="25" t="n">
        <f aca="false">F426+E427*(1-IF(D427&gt;0,(IF(A427&gt;Penalty!$B$19,Penalty!$I$5,0)+G426)/D427,0))</f>
        <v>345.789278153858</v>
      </c>
      <c r="G427" s="25" t="n">
        <f aca="false">G426+E427*IF(D427&gt;0,(IF(A427&gt;Penalty!$B$19,Penalty!$I$5,0)+G426)/D427,0)</f>
        <v>46.6815525507708</v>
      </c>
    </row>
    <row r="428" customFormat="false" ht="15" hidden="false" customHeight="false" outlineLevel="0" collapsed="false">
      <c r="A428" s="23" t="n">
        <f aca="false">Penalty!$B$5+424</f>
        <v>46551</v>
      </c>
      <c r="B428" s="24" t="n">
        <f aca="false">IF(YEAR(A428)&gt;2026,Penalty!$B$16/100,IFERROR(INDEX(Rates!$B$4:$E$15,MATCH(YEAR(A428),Rates!$A$4:$A$15,0),ROUNDUP(MONTH(A428)/3,0))/100,0.03))</f>
        <v>0.07</v>
      </c>
      <c r="C428" s="25" t="n">
        <f aca="false">MAX(0,Penalty!$B$4-SUMIFS(Penalty!$C$10:$C$12,Penalty!$B$10:$B$12,"&lt;"&amp;A428))</f>
        <v>12000</v>
      </c>
      <c r="D428" s="25" t="n">
        <f aca="false">IF(A428&lt;=Penalty!$B$8,C428+F427+IF(A428&gt;Penalty!$B$19,Penalty!$I$5,0)+G427,0)</f>
        <v>0</v>
      </c>
      <c r="E428" s="26" t="n">
        <f aca="false">D428*B428/365</f>
        <v>0</v>
      </c>
      <c r="F428" s="25" t="n">
        <f aca="false">F427+E428*(1-IF(D428&gt;0,(IF(A428&gt;Penalty!$B$19,Penalty!$I$5,0)+G427)/D428,0))</f>
        <v>345.789278153858</v>
      </c>
      <c r="G428" s="25" t="n">
        <f aca="false">G427+E428*IF(D428&gt;0,(IF(A428&gt;Penalty!$B$19,Penalty!$I$5,0)+G427)/D428,0)</f>
        <v>46.6815525507708</v>
      </c>
    </row>
    <row r="429" customFormat="false" ht="15" hidden="false" customHeight="false" outlineLevel="0" collapsed="false">
      <c r="A429" s="23" t="n">
        <f aca="false">Penalty!$B$5+425</f>
        <v>46552</v>
      </c>
      <c r="B429" s="24" t="n">
        <f aca="false">IF(YEAR(A429)&gt;2026,Penalty!$B$16/100,IFERROR(INDEX(Rates!$B$4:$E$15,MATCH(YEAR(A429),Rates!$A$4:$A$15,0),ROUNDUP(MONTH(A429)/3,0))/100,0.03))</f>
        <v>0.07</v>
      </c>
      <c r="C429" s="25" t="n">
        <f aca="false">MAX(0,Penalty!$B$4-SUMIFS(Penalty!$C$10:$C$12,Penalty!$B$10:$B$12,"&lt;"&amp;A429))</f>
        <v>12000</v>
      </c>
      <c r="D429" s="25" t="n">
        <f aca="false">IF(A429&lt;=Penalty!$B$8,C429+F428+IF(A429&gt;Penalty!$B$19,Penalty!$I$5,0)+G428,0)</f>
        <v>0</v>
      </c>
      <c r="E429" s="26" t="n">
        <f aca="false">D429*B429/365</f>
        <v>0</v>
      </c>
      <c r="F429" s="25" t="n">
        <f aca="false">F428+E429*(1-IF(D429&gt;0,(IF(A429&gt;Penalty!$B$19,Penalty!$I$5,0)+G428)/D429,0))</f>
        <v>345.789278153858</v>
      </c>
      <c r="G429" s="25" t="n">
        <f aca="false">G428+E429*IF(D429&gt;0,(IF(A429&gt;Penalty!$B$19,Penalty!$I$5,0)+G428)/D429,0)</f>
        <v>46.6815525507708</v>
      </c>
    </row>
    <row r="430" customFormat="false" ht="15" hidden="false" customHeight="false" outlineLevel="0" collapsed="false">
      <c r="A430" s="23" t="n">
        <f aca="false">Penalty!$B$5+426</f>
        <v>46553</v>
      </c>
      <c r="B430" s="24" t="n">
        <f aca="false">IF(YEAR(A430)&gt;2026,Penalty!$B$16/100,IFERROR(INDEX(Rates!$B$4:$E$15,MATCH(YEAR(A430),Rates!$A$4:$A$15,0),ROUNDUP(MONTH(A430)/3,0))/100,0.03))</f>
        <v>0.07</v>
      </c>
      <c r="C430" s="25" t="n">
        <f aca="false">MAX(0,Penalty!$B$4-SUMIFS(Penalty!$C$10:$C$12,Penalty!$B$10:$B$12,"&lt;"&amp;A430))</f>
        <v>12000</v>
      </c>
      <c r="D430" s="25" t="n">
        <f aca="false">IF(A430&lt;=Penalty!$B$8,C430+F429+IF(A430&gt;Penalty!$B$19,Penalty!$I$5,0)+G429,0)</f>
        <v>0</v>
      </c>
      <c r="E430" s="26" t="n">
        <f aca="false">D430*B430/365</f>
        <v>0</v>
      </c>
      <c r="F430" s="25" t="n">
        <f aca="false">F429+E430*(1-IF(D430&gt;0,(IF(A430&gt;Penalty!$B$19,Penalty!$I$5,0)+G429)/D430,0))</f>
        <v>345.789278153858</v>
      </c>
      <c r="G430" s="25" t="n">
        <f aca="false">G429+E430*IF(D430&gt;0,(IF(A430&gt;Penalty!$B$19,Penalty!$I$5,0)+G429)/D430,0)</f>
        <v>46.6815525507708</v>
      </c>
    </row>
    <row r="431" customFormat="false" ht="15" hidden="false" customHeight="false" outlineLevel="0" collapsed="false">
      <c r="A431" s="23" t="n">
        <f aca="false">Penalty!$B$5+427</f>
        <v>46554</v>
      </c>
      <c r="B431" s="24" t="n">
        <f aca="false">IF(YEAR(A431)&gt;2026,Penalty!$B$16/100,IFERROR(INDEX(Rates!$B$4:$E$15,MATCH(YEAR(A431),Rates!$A$4:$A$15,0),ROUNDUP(MONTH(A431)/3,0))/100,0.03))</f>
        <v>0.07</v>
      </c>
      <c r="C431" s="25" t="n">
        <f aca="false">MAX(0,Penalty!$B$4-SUMIFS(Penalty!$C$10:$C$12,Penalty!$B$10:$B$12,"&lt;"&amp;A431))</f>
        <v>12000</v>
      </c>
      <c r="D431" s="25" t="n">
        <f aca="false">IF(A431&lt;=Penalty!$B$8,C431+F430+IF(A431&gt;Penalty!$B$19,Penalty!$I$5,0)+G430,0)</f>
        <v>0</v>
      </c>
      <c r="E431" s="26" t="n">
        <f aca="false">D431*B431/365</f>
        <v>0</v>
      </c>
      <c r="F431" s="25" t="n">
        <f aca="false">F430+E431*(1-IF(D431&gt;0,(IF(A431&gt;Penalty!$B$19,Penalty!$I$5,0)+G430)/D431,0))</f>
        <v>345.789278153858</v>
      </c>
      <c r="G431" s="25" t="n">
        <f aca="false">G430+E431*IF(D431&gt;0,(IF(A431&gt;Penalty!$B$19,Penalty!$I$5,0)+G430)/D431,0)</f>
        <v>46.6815525507708</v>
      </c>
    </row>
    <row r="432" customFormat="false" ht="15" hidden="false" customHeight="false" outlineLevel="0" collapsed="false">
      <c r="A432" s="23" t="n">
        <f aca="false">Penalty!$B$5+428</f>
        <v>46555</v>
      </c>
      <c r="B432" s="24" t="n">
        <f aca="false">IF(YEAR(A432)&gt;2026,Penalty!$B$16/100,IFERROR(INDEX(Rates!$B$4:$E$15,MATCH(YEAR(A432),Rates!$A$4:$A$15,0),ROUNDUP(MONTH(A432)/3,0))/100,0.03))</f>
        <v>0.07</v>
      </c>
      <c r="C432" s="25" t="n">
        <f aca="false">MAX(0,Penalty!$B$4-SUMIFS(Penalty!$C$10:$C$12,Penalty!$B$10:$B$12,"&lt;"&amp;A432))</f>
        <v>12000</v>
      </c>
      <c r="D432" s="25" t="n">
        <f aca="false">IF(A432&lt;=Penalty!$B$8,C432+F431+IF(A432&gt;Penalty!$B$19,Penalty!$I$5,0)+G431,0)</f>
        <v>0</v>
      </c>
      <c r="E432" s="26" t="n">
        <f aca="false">D432*B432/365</f>
        <v>0</v>
      </c>
      <c r="F432" s="25" t="n">
        <f aca="false">F431+E432*(1-IF(D432&gt;0,(IF(A432&gt;Penalty!$B$19,Penalty!$I$5,0)+G431)/D432,0))</f>
        <v>345.789278153858</v>
      </c>
      <c r="G432" s="25" t="n">
        <f aca="false">G431+E432*IF(D432&gt;0,(IF(A432&gt;Penalty!$B$19,Penalty!$I$5,0)+G431)/D432,0)</f>
        <v>46.6815525507708</v>
      </c>
    </row>
    <row r="433" customFormat="false" ht="15" hidden="false" customHeight="false" outlineLevel="0" collapsed="false">
      <c r="A433" s="23" t="n">
        <f aca="false">Penalty!$B$5+429</f>
        <v>46556</v>
      </c>
      <c r="B433" s="24" t="n">
        <f aca="false">IF(YEAR(A433)&gt;2026,Penalty!$B$16/100,IFERROR(INDEX(Rates!$B$4:$E$15,MATCH(YEAR(A433),Rates!$A$4:$A$15,0),ROUNDUP(MONTH(A433)/3,0))/100,0.03))</f>
        <v>0.07</v>
      </c>
      <c r="C433" s="25" t="n">
        <f aca="false">MAX(0,Penalty!$B$4-SUMIFS(Penalty!$C$10:$C$12,Penalty!$B$10:$B$12,"&lt;"&amp;A433))</f>
        <v>12000</v>
      </c>
      <c r="D433" s="25" t="n">
        <f aca="false">IF(A433&lt;=Penalty!$B$8,C433+F432+IF(A433&gt;Penalty!$B$19,Penalty!$I$5,0)+G432,0)</f>
        <v>0</v>
      </c>
      <c r="E433" s="26" t="n">
        <f aca="false">D433*B433/365</f>
        <v>0</v>
      </c>
      <c r="F433" s="25" t="n">
        <f aca="false">F432+E433*(1-IF(D433&gt;0,(IF(A433&gt;Penalty!$B$19,Penalty!$I$5,0)+G432)/D433,0))</f>
        <v>345.789278153858</v>
      </c>
      <c r="G433" s="25" t="n">
        <f aca="false">G432+E433*IF(D433&gt;0,(IF(A433&gt;Penalty!$B$19,Penalty!$I$5,0)+G432)/D433,0)</f>
        <v>46.6815525507708</v>
      </c>
    </row>
    <row r="434" customFormat="false" ht="15" hidden="false" customHeight="false" outlineLevel="0" collapsed="false">
      <c r="A434" s="23" t="n">
        <f aca="false">Penalty!$B$5+430</f>
        <v>46557</v>
      </c>
      <c r="B434" s="24" t="n">
        <f aca="false">IF(YEAR(A434)&gt;2026,Penalty!$B$16/100,IFERROR(INDEX(Rates!$B$4:$E$15,MATCH(YEAR(A434),Rates!$A$4:$A$15,0),ROUNDUP(MONTH(A434)/3,0))/100,0.03))</f>
        <v>0.07</v>
      </c>
      <c r="C434" s="25" t="n">
        <f aca="false">MAX(0,Penalty!$B$4-SUMIFS(Penalty!$C$10:$C$12,Penalty!$B$10:$B$12,"&lt;"&amp;A434))</f>
        <v>12000</v>
      </c>
      <c r="D434" s="25" t="n">
        <f aca="false">IF(A434&lt;=Penalty!$B$8,C434+F433+IF(A434&gt;Penalty!$B$19,Penalty!$I$5,0)+G433,0)</f>
        <v>0</v>
      </c>
      <c r="E434" s="26" t="n">
        <f aca="false">D434*B434/365</f>
        <v>0</v>
      </c>
      <c r="F434" s="25" t="n">
        <f aca="false">F433+E434*(1-IF(D434&gt;0,(IF(A434&gt;Penalty!$B$19,Penalty!$I$5,0)+G433)/D434,0))</f>
        <v>345.789278153858</v>
      </c>
      <c r="G434" s="25" t="n">
        <f aca="false">G433+E434*IF(D434&gt;0,(IF(A434&gt;Penalty!$B$19,Penalty!$I$5,0)+G433)/D434,0)</f>
        <v>46.6815525507708</v>
      </c>
    </row>
    <row r="435" customFormat="false" ht="15" hidden="false" customHeight="false" outlineLevel="0" collapsed="false">
      <c r="A435" s="23" t="n">
        <f aca="false">Penalty!$B$5+431</f>
        <v>46558</v>
      </c>
      <c r="B435" s="24" t="n">
        <f aca="false">IF(YEAR(A435)&gt;2026,Penalty!$B$16/100,IFERROR(INDEX(Rates!$B$4:$E$15,MATCH(YEAR(A435),Rates!$A$4:$A$15,0),ROUNDUP(MONTH(A435)/3,0))/100,0.03))</f>
        <v>0.07</v>
      </c>
      <c r="C435" s="25" t="n">
        <f aca="false">MAX(0,Penalty!$B$4-SUMIFS(Penalty!$C$10:$C$12,Penalty!$B$10:$B$12,"&lt;"&amp;A435))</f>
        <v>12000</v>
      </c>
      <c r="D435" s="25" t="n">
        <f aca="false">IF(A435&lt;=Penalty!$B$8,C435+F434+IF(A435&gt;Penalty!$B$19,Penalty!$I$5,0)+G434,0)</f>
        <v>0</v>
      </c>
      <c r="E435" s="26" t="n">
        <f aca="false">D435*B435/365</f>
        <v>0</v>
      </c>
      <c r="F435" s="25" t="n">
        <f aca="false">F434+E435*(1-IF(D435&gt;0,(IF(A435&gt;Penalty!$B$19,Penalty!$I$5,0)+G434)/D435,0))</f>
        <v>345.789278153858</v>
      </c>
      <c r="G435" s="25" t="n">
        <f aca="false">G434+E435*IF(D435&gt;0,(IF(A435&gt;Penalty!$B$19,Penalty!$I$5,0)+G434)/D435,0)</f>
        <v>46.6815525507708</v>
      </c>
    </row>
    <row r="436" customFormat="false" ht="15" hidden="false" customHeight="false" outlineLevel="0" collapsed="false">
      <c r="A436" s="23" t="n">
        <f aca="false">Penalty!$B$5+432</f>
        <v>46559</v>
      </c>
      <c r="B436" s="24" t="n">
        <f aca="false">IF(YEAR(A436)&gt;2026,Penalty!$B$16/100,IFERROR(INDEX(Rates!$B$4:$E$15,MATCH(YEAR(A436),Rates!$A$4:$A$15,0),ROUNDUP(MONTH(A436)/3,0))/100,0.03))</f>
        <v>0.07</v>
      </c>
      <c r="C436" s="25" t="n">
        <f aca="false">MAX(0,Penalty!$B$4-SUMIFS(Penalty!$C$10:$C$12,Penalty!$B$10:$B$12,"&lt;"&amp;A436))</f>
        <v>12000</v>
      </c>
      <c r="D436" s="25" t="n">
        <f aca="false">IF(A436&lt;=Penalty!$B$8,C436+F435+IF(A436&gt;Penalty!$B$19,Penalty!$I$5,0)+G435,0)</f>
        <v>0</v>
      </c>
      <c r="E436" s="26" t="n">
        <f aca="false">D436*B436/365</f>
        <v>0</v>
      </c>
      <c r="F436" s="25" t="n">
        <f aca="false">F435+E436*(1-IF(D436&gt;0,(IF(A436&gt;Penalty!$B$19,Penalty!$I$5,0)+G435)/D436,0))</f>
        <v>345.789278153858</v>
      </c>
      <c r="G436" s="25" t="n">
        <f aca="false">G435+E436*IF(D436&gt;0,(IF(A436&gt;Penalty!$B$19,Penalty!$I$5,0)+G435)/D436,0)</f>
        <v>46.6815525507708</v>
      </c>
    </row>
    <row r="437" customFormat="false" ht="15" hidden="false" customHeight="false" outlineLevel="0" collapsed="false">
      <c r="A437" s="23" t="n">
        <f aca="false">Penalty!$B$5+433</f>
        <v>46560</v>
      </c>
      <c r="B437" s="24" t="n">
        <f aca="false">IF(YEAR(A437)&gt;2026,Penalty!$B$16/100,IFERROR(INDEX(Rates!$B$4:$E$15,MATCH(YEAR(A437),Rates!$A$4:$A$15,0),ROUNDUP(MONTH(A437)/3,0))/100,0.03))</f>
        <v>0.07</v>
      </c>
      <c r="C437" s="25" t="n">
        <f aca="false">MAX(0,Penalty!$B$4-SUMIFS(Penalty!$C$10:$C$12,Penalty!$B$10:$B$12,"&lt;"&amp;A437))</f>
        <v>12000</v>
      </c>
      <c r="D437" s="25" t="n">
        <f aca="false">IF(A437&lt;=Penalty!$B$8,C437+F436+IF(A437&gt;Penalty!$B$19,Penalty!$I$5,0)+G436,0)</f>
        <v>0</v>
      </c>
      <c r="E437" s="26" t="n">
        <f aca="false">D437*B437/365</f>
        <v>0</v>
      </c>
      <c r="F437" s="25" t="n">
        <f aca="false">F436+E437*(1-IF(D437&gt;0,(IF(A437&gt;Penalty!$B$19,Penalty!$I$5,0)+G436)/D437,0))</f>
        <v>345.789278153858</v>
      </c>
      <c r="G437" s="25" t="n">
        <f aca="false">G436+E437*IF(D437&gt;0,(IF(A437&gt;Penalty!$B$19,Penalty!$I$5,0)+G436)/D437,0)</f>
        <v>46.6815525507708</v>
      </c>
    </row>
    <row r="438" customFormat="false" ht="15" hidden="false" customHeight="false" outlineLevel="0" collapsed="false">
      <c r="A438" s="23" t="n">
        <f aca="false">Penalty!$B$5+434</f>
        <v>46561</v>
      </c>
      <c r="B438" s="24" t="n">
        <f aca="false">IF(YEAR(A438)&gt;2026,Penalty!$B$16/100,IFERROR(INDEX(Rates!$B$4:$E$15,MATCH(YEAR(A438),Rates!$A$4:$A$15,0),ROUNDUP(MONTH(A438)/3,0))/100,0.03))</f>
        <v>0.07</v>
      </c>
      <c r="C438" s="25" t="n">
        <f aca="false">MAX(0,Penalty!$B$4-SUMIFS(Penalty!$C$10:$C$12,Penalty!$B$10:$B$12,"&lt;"&amp;A438))</f>
        <v>12000</v>
      </c>
      <c r="D438" s="25" t="n">
        <f aca="false">IF(A438&lt;=Penalty!$B$8,C438+F437+IF(A438&gt;Penalty!$B$19,Penalty!$I$5,0)+G437,0)</f>
        <v>0</v>
      </c>
      <c r="E438" s="26" t="n">
        <f aca="false">D438*B438/365</f>
        <v>0</v>
      </c>
      <c r="F438" s="25" t="n">
        <f aca="false">F437+E438*(1-IF(D438&gt;0,(IF(A438&gt;Penalty!$B$19,Penalty!$I$5,0)+G437)/D438,0))</f>
        <v>345.789278153858</v>
      </c>
      <c r="G438" s="25" t="n">
        <f aca="false">G437+E438*IF(D438&gt;0,(IF(A438&gt;Penalty!$B$19,Penalty!$I$5,0)+G437)/D438,0)</f>
        <v>46.6815525507708</v>
      </c>
    </row>
    <row r="439" customFormat="false" ht="15" hidden="false" customHeight="false" outlineLevel="0" collapsed="false">
      <c r="A439" s="23" t="n">
        <f aca="false">Penalty!$B$5+435</f>
        <v>46562</v>
      </c>
      <c r="B439" s="24" t="n">
        <f aca="false">IF(YEAR(A439)&gt;2026,Penalty!$B$16/100,IFERROR(INDEX(Rates!$B$4:$E$15,MATCH(YEAR(A439),Rates!$A$4:$A$15,0),ROUNDUP(MONTH(A439)/3,0))/100,0.03))</f>
        <v>0.07</v>
      </c>
      <c r="C439" s="25" t="n">
        <f aca="false">MAX(0,Penalty!$B$4-SUMIFS(Penalty!$C$10:$C$12,Penalty!$B$10:$B$12,"&lt;"&amp;A439))</f>
        <v>12000</v>
      </c>
      <c r="D439" s="25" t="n">
        <f aca="false">IF(A439&lt;=Penalty!$B$8,C439+F438+IF(A439&gt;Penalty!$B$19,Penalty!$I$5,0)+G438,0)</f>
        <v>0</v>
      </c>
      <c r="E439" s="26" t="n">
        <f aca="false">D439*B439/365</f>
        <v>0</v>
      </c>
      <c r="F439" s="25" t="n">
        <f aca="false">F438+E439*(1-IF(D439&gt;0,(IF(A439&gt;Penalty!$B$19,Penalty!$I$5,0)+G438)/D439,0))</f>
        <v>345.789278153858</v>
      </c>
      <c r="G439" s="25" t="n">
        <f aca="false">G438+E439*IF(D439&gt;0,(IF(A439&gt;Penalty!$B$19,Penalty!$I$5,0)+G438)/D439,0)</f>
        <v>46.6815525507708</v>
      </c>
    </row>
    <row r="440" customFormat="false" ht="15" hidden="false" customHeight="false" outlineLevel="0" collapsed="false">
      <c r="A440" s="23" t="n">
        <f aca="false">Penalty!$B$5+436</f>
        <v>46563</v>
      </c>
      <c r="B440" s="24" t="n">
        <f aca="false">IF(YEAR(A440)&gt;2026,Penalty!$B$16/100,IFERROR(INDEX(Rates!$B$4:$E$15,MATCH(YEAR(A440),Rates!$A$4:$A$15,0),ROUNDUP(MONTH(A440)/3,0))/100,0.03))</f>
        <v>0.07</v>
      </c>
      <c r="C440" s="25" t="n">
        <f aca="false">MAX(0,Penalty!$B$4-SUMIFS(Penalty!$C$10:$C$12,Penalty!$B$10:$B$12,"&lt;"&amp;A440))</f>
        <v>12000</v>
      </c>
      <c r="D440" s="25" t="n">
        <f aca="false">IF(A440&lt;=Penalty!$B$8,C440+F439+IF(A440&gt;Penalty!$B$19,Penalty!$I$5,0)+G439,0)</f>
        <v>0</v>
      </c>
      <c r="E440" s="26" t="n">
        <f aca="false">D440*B440/365</f>
        <v>0</v>
      </c>
      <c r="F440" s="25" t="n">
        <f aca="false">F439+E440*(1-IF(D440&gt;0,(IF(A440&gt;Penalty!$B$19,Penalty!$I$5,0)+G439)/D440,0))</f>
        <v>345.789278153858</v>
      </c>
      <c r="G440" s="25" t="n">
        <f aca="false">G439+E440*IF(D440&gt;0,(IF(A440&gt;Penalty!$B$19,Penalty!$I$5,0)+G439)/D440,0)</f>
        <v>46.6815525507708</v>
      </c>
    </row>
    <row r="441" customFormat="false" ht="15" hidden="false" customHeight="false" outlineLevel="0" collapsed="false">
      <c r="A441" s="23" t="n">
        <f aca="false">Penalty!$B$5+437</f>
        <v>46564</v>
      </c>
      <c r="B441" s="24" t="n">
        <f aca="false">IF(YEAR(A441)&gt;2026,Penalty!$B$16/100,IFERROR(INDEX(Rates!$B$4:$E$15,MATCH(YEAR(A441),Rates!$A$4:$A$15,0),ROUNDUP(MONTH(A441)/3,0))/100,0.03))</f>
        <v>0.07</v>
      </c>
      <c r="C441" s="25" t="n">
        <f aca="false">MAX(0,Penalty!$B$4-SUMIFS(Penalty!$C$10:$C$12,Penalty!$B$10:$B$12,"&lt;"&amp;A441))</f>
        <v>12000</v>
      </c>
      <c r="D441" s="25" t="n">
        <f aca="false">IF(A441&lt;=Penalty!$B$8,C441+F440+IF(A441&gt;Penalty!$B$19,Penalty!$I$5,0)+G440,0)</f>
        <v>0</v>
      </c>
      <c r="E441" s="26" t="n">
        <f aca="false">D441*B441/365</f>
        <v>0</v>
      </c>
      <c r="F441" s="25" t="n">
        <f aca="false">F440+E441*(1-IF(D441&gt;0,(IF(A441&gt;Penalty!$B$19,Penalty!$I$5,0)+G440)/D441,0))</f>
        <v>345.789278153858</v>
      </c>
      <c r="G441" s="25" t="n">
        <f aca="false">G440+E441*IF(D441&gt;0,(IF(A441&gt;Penalty!$B$19,Penalty!$I$5,0)+G440)/D441,0)</f>
        <v>46.6815525507708</v>
      </c>
    </row>
    <row r="442" customFormat="false" ht="15" hidden="false" customHeight="false" outlineLevel="0" collapsed="false">
      <c r="A442" s="23" t="n">
        <f aca="false">Penalty!$B$5+438</f>
        <v>46565</v>
      </c>
      <c r="B442" s="24" t="n">
        <f aca="false">IF(YEAR(A442)&gt;2026,Penalty!$B$16/100,IFERROR(INDEX(Rates!$B$4:$E$15,MATCH(YEAR(A442),Rates!$A$4:$A$15,0),ROUNDUP(MONTH(A442)/3,0))/100,0.03))</f>
        <v>0.07</v>
      </c>
      <c r="C442" s="25" t="n">
        <f aca="false">MAX(0,Penalty!$B$4-SUMIFS(Penalty!$C$10:$C$12,Penalty!$B$10:$B$12,"&lt;"&amp;A442))</f>
        <v>12000</v>
      </c>
      <c r="D442" s="25" t="n">
        <f aca="false">IF(A442&lt;=Penalty!$B$8,C442+F441+IF(A442&gt;Penalty!$B$19,Penalty!$I$5,0)+G441,0)</f>
        <v>0</v>
      </c>
      <c r="E442" s="26" t="n">
        <f aca="false">D442*B442/365</f>
        <v>0</v>
      </c>
      <c r="F442" s="25" t="n">
        <f aca="false">F441+E442*(1-IF(D442&gt;0,(IF(A442&gt;Penalty!$B$19,Penalty!$I$5,0)+G441)/D442,0))</f>
        <v>345.789278153858</v>
      </c>
      <c r="G442" s="25" t="n">
        <f aca="false">G441+E442*IF(D442&gt;0,(IF(A442&gt;Penalty!$B$19,Penalty!$I$5,0)+G441)/D442,0)</f>
        <v>46.6815525507708</v>
      </c>
    </row>
    <row r="443" customFormat="false" ht="15" hidden="false" customHeight="false" outlineLevel="0" collapsed="false">
      <c r="A443" s="23" t="n">
        <f aca="false">Penalty!$B$5+439</f>
        <v>46566</v>
      </c>
      <c r="B443" s="24" t="n">
        <f aca="false">IF(YEAR(A443)&gt;2026,Penalty!$B$16/100,IFERROR(INDEX(Rates!$B$4:$E$15,MATCH(YEAR(A443),Rates!$A$4:$A$15,0),ROUNDUP(MONTH(A443)/3,0))/100,0.03))</f>
        <v>0.07</v>
      </c>
      <c r="C443" s="25" t="n">
        <f aca="false">MAX(0,Penalty!$B$4-SUMIFS(Penalty!$C$10:$C$12,Penalty!$B$10:$B$12,"&lt;"&amp;A443))</f>
        <v>12000</v>
      </c>
      <c r="D443" s="25" t="n">
        <f aca="false">IF(A443&lt;=Penalty!$B$8,C443+F442+IF(A443&gt;Penalty!$B$19,Penalty!$I$5,0)+G442,0)</f>
        <v>0</v>
      </c>
      <c r="E443" s="26" t="n">
        <f aca="false">D443*B443/365</f>
        <v>0</v>
      </c>
      <c r="F443" s="25" t="n">
        <f aca="false">F442+E443*(1-IF(D443&gt;0,(IF(A443&gt;Penalty!$B$19,Penalty!$I$5,0)+G442)/D443,0))</f>
        <v>345.789278153858</v>
      </c>
      <c r="G443" s="25" t="n">
        <f aca="false">G442+E443*IF(D443&gt;0,(IF(A443&gt;Penalty!$B$19,Penalty!$I$5,0)+G442)/D443,0)</f>
        <v>46.6815525507708</v>
      </c>
    </row>
    <row r="444" customFormat="false" ht="15" hidden="false" customHeight="false" outlineLevel="0" collapsed="false">
      <c r="A444" s="23" t="n">
        <f aca="false">Penalty!$B$5+440</f>
        <v>46567</v>
      </c>
      <c r="B444" s="24" t="n">
        <f aca="false">IF(YEAR(A444)&gt;2026,Penalty!$B$16/100,IFERROR(INDEX(Rates!$B$4:$E$15,MATCH(YEAR(A444),Rates!$A$4:$A$15,0),ROUNDUP(MONTH(A444)/3,0))/100,0.03))</f>
        <v>0.07</v>
      </c>
      <c r="C444" s="25" t="n">
        <f aca="false">MAX(0,Penalty!$B$4-SUMIFS(Penalty!$C$10:$C$12,Penalty!$B$10:$B$12,"&lt;"&amp;A444))</f>
        <v>12000</v>
      </c>
      <c r="D444" s="25" t="n">
        <f aca="false">IF(A444&lt;=Penalty!$B$8,C444+F443+IF(A444&gt;Penalty!$B$19,Penalty!$I$5,0)+G443,0)</f>
        <v>0</v>
      </c>
      <c r="E444" s="26" t="n">
        <f aca="false">D444*B444/365</f>
        <v>0</v>
      </c>
      <c r="F444" s="25" t="n">
        <f aca="false">F443+E444*(1-IF(D444&gt;0,(IF(A444&gt;Penalty!$B$19,Penalty!$I$5,0)+G443)/D444,0))</f>
        <v>345.789278153858</v>
      </c>
      <c r="G444" s="25" t="n">
        <f aca="false">G443+E444*IF(D444&gt;0,(IF(A444&gt;Penalty!$B$19,Penalty!$I$5,0)+G443)/D444,0)</f>
        <v>46.6815525507708</v>
      </c>
    </row>
    <row r="445" customFormat="false" ht="15" hidden="false" customHeight="false" outlineLevel="0" collapsed="false">
      <c r="A445" s="23" t="n">
        <f aca="false">Penalty!$B$5+441</f>
        <v>46568</v>
      </c>
      <c r="B445" s="24" t="n">
        <f aca="false">IF(YEAR(A445)&gt;2026,Penalty!$B$16/100,IFERROR(INDEX(Rates!$B$4:$E$15,MATCH(YEAR(A445),Rates!$A$4:$A$15,0),ROUNDUP(MONTH(A445)/3,0))/100,0.03))</f>
        <v>0.07</v>
      </c>
      <c r="C445" s="25" t="n">
        <f aca="false">MAX(0,Penalty!$B$4-SUMIFS(Penalty!$C$10:$C$12,Penalty!$B$10:$B$12,"&lt;"&amp;A445))</f>
        <v>12000</v>
      </c>
      <c r="D445" s="25" t="n">
        <f aca="false">IF(A445&lt;=Penalty!$B$8,C445+F444+IF(A445&gt;Penalty!$B$19,Penalty!$I$5,0)+G444,0)</f>
        <v>0</v>
      </c>
      <c r="E445" s="26" t="n">
        <f aca="false">D445*B445/365</f>
        <v>0</v>
      </c>
      <c r="F445" s="25" t="n">
        <f aca="false">F444+E445*(1-IF(D445&gt;0,(IF(A445&gt;Penalty!$B$19,Penalty!$I$5,0)+G444)/D445,0))</f>
        <v>345.789278153858</v>
      </c>
      <c r="G445" s="25" t="n">
        <f aca="false">G444+E445*IF(D445&gt;0,(IF(A445&gt;Penalty!$B$19,Penalty!$I$5,0)+G444)/D445,0)</f>
        <v>46.6815525507708</v>
      </c>
    </row>
    <row r="446" customFormat="false" ht="15" hidden="false" customHeight="false" outlineLevel="0" collapsed="false">
      <c r="A446" s="23" t="n">
        <f aca="false">Penalty!$B$5+442</f>
        <v>46569</v>
      </c>
      <c r="B446" s="24" t="n">
        <f aca="false">IF(YEAR(A446)&gt;2026,Penalty!$B$16/100,IFERROR(INDEX(Rates!$B$4:$E$15,MATCH(YEAR(A446),Rates!$A$4:$A$15,0),ROUNDUP(MONTH(A446)/3,0))/100,0.03))</f>
        <v>0.07</v>
      </c>
      <c r="C446" s="25" t="n">
        <f aca="false">MAX(0,Penalty!$B$4-SUMIFS(Penalty!$C$10:$C$12,Penalty!$B$10:$B$12,"&lt;"&amp;A446))</f>
        <v>12000</v>
      </c>
      <c r="D446" s="25" t="n">
        <f aca="false">IF(A446&lt;=Penalty!$B$8,C446+F445+IF(A446&gt;Penalty!$B$19,Penalty!$I$5,0)+G445,0)</f>
        <v>0</v>
      </c>
      <c r="E446" s="26" t="n">
        <f aca="false">D446*B446/365</f>
        <v>0</v>
      </c>
      <c r="F446" s="25" t="n">
        <f aca="false">F445+E446*(1-IF(D446&gt;0,(IF(A446&gt;Penalty!$B$19,Penalty!$I$5,0)+G445)/D446,0))</f>
        <v>345.789278153858</v>
      </c>
      <c r="G446" s="25" t="n">
        <f aca="false">G445+E446*IF(D446&gt;0,(IF(A446&gt;Penalty!$B$19,Penalty!$I$5,0)+G445)/D446,0)</f>
        <v>46.6815525507708</v>
      </c>
    </row>
    <row r="447" customFormat="false" ht="15" hidden="false" customHeight="false" outlineLevel="0" collapsed="false">
      <c r="A447" s="23" t="n">
        <f aca="false">Penalty!$B$5+443</f>
        <v>46570</v>
      </c>
      <c r="B447" s="24" t="n">
        <f aca="false">IF(YEAR(A447)&gt;2026,Penalty!$B$16/100,IFERROR(INDEX(Rates!$B$4:$E$15,MATCH(YEAR(A447),Rates!$A$4:$A$15,0),ROUNDUP(MONTH(A447)/3,0))/100,0.03))</f>
        <v>0.07</v>
      </c>
      <c r="C447" s="25" t="n">
        <f aca="false">MAX(0,Penalty!$B$4-SUMIFS(Penalty!$C$10:$C$12,Penalty!$B$10:$B$12,"&lt;"&amp;A447))</f>
        <v>12000</v>
      </c>
      <c r="D447" s="25" t="n">
        <f aca="false">IF(A447&lt;=Penalty!$B$8,C447+F446+IF(A447&gt;Penalty!$B$19,Penalty!$I$5,0)+G446,0)</f>
        <v>0</v>
      </c>
      <c r="E447" s="26" t="n">
        <f aca="false">D447*B447/365</f>
        <v>0</v>
      </c>
      <c r="F447" s="25" t="n">
        <f aca="false">F446+E447*(1-IF(D447&gt;0,(IF(A447&gt;Penalty!$B$19,Penalty!$I$5,0)+G446)/D447,0))</f>
        <v>345.789278153858</v>
      </c>
      <c r="G447" s="25" t="n">
        <f aca="false">G446+E447*IF(D447&gt;0,(IF(A447&gt;Penalty!$B$19,Penalty!$I$5,0)+G446)/D447,0)</f>
        <v>46.6815525507708</v>
      </c>
    </row>
    <row r="448" customFormat="false" ht="15" hidden="false" customHeight="false" outlineLevel="0" collapsed="false">
      <c r="A448" s="23" t="n">
        <f aca="false">Penalty!$B$5+444</f>
        <v>46571</v>
      </c>
      <c r="B448" s="24" t="n">
        <f aca="false">IF(YEAR(A448)&gt;2026,Penalty!$B$16/100,IFERROR(INDEX(Rates!$B$4:$E$15,MATCH(YEAR(A448),Rates!$A$4:$A$15,0),ROUNDUP(MONTH(A448)/3,0))/100,0.03))</f>
        <v>0.07</v>
      </c>
      <c r="C448" s="25" t="n">
        <f aca="false">MAX(0,Penalty!$B$4-SUMIFS(Penalty!$C$10:$C$12,Penalty!$B$10:$B$12,"&lt;"&amp;A448))</f>
        <v>12000</v>
      </c>
      <c r="D448" s="25" t="n">
        <f aca="false">IF(A448&lt;=Penalty!$B$8,C448+F447+IF(A448&gt;Penalty!$B$19,Penalty!$I$5,0)+G447,0)</f>
        <v>0</v>
      </c>
      <c r="E448" s="26" t="n">
        <f aca="false">D448*B448/365</f>
        <v>0</v>
      </c>
      <c r="F448" s="25" t="n">
        <f aca="false">F447+E448*(1-IF(D448&gt;0,(IF(A448&gt;Penalty!$B$19,Penalty!$I$5,0)+G447)/D448,0))</f>
        <v>345.789278153858</v>
      </c>
      <c r="G448" s="25" t="n">
        <f aca="false">G447+E448*IF(D448&gt;0,(IF(A448&gt;Penalty!$B$19,Penalty!$I$5,0)+G447)/D448,0)</f>
        <v>46.6815525507708</v>
      </c>
    </row>
    <row r="449" customFormat="false" ht="15" hidden="false" customHeight="false" outlineLevel="0" collapsed="false">
      <c r="A449" s="23" t="n">
        <f aca="false">Penalty!$B$5+445</f>
        <v>46572</v>
      </c>
      <c r="B449" s="24" t="n">
        <f aca="false">IF(YEAR(A449)&gt;2026,Penalty!$B$16/100,IFERROR(INDEX(Rates!$B$4:$E$15,MATCH(YEAR(A449),Rates!$A$4:$A$15,0),ROUNDUP(MONTH(A449)/3,0))/100,0.03))</f>
        <v>0.07</v>
      </c>
      <c r="C449" s="25" t="n">
        <f aca="false">MAX(0,Penalty!$B$4-SUMIFS(Penalty!$C$10:$C$12,Penalty!$B$10:$B$12,"&lt;"&amp;A449))</f>
        <v>12000</v>
      </c>
      <c r="D449" s="25" t="n">
        <f aca="false">IF(A449&lt;=Penalty!$B$8,C449+F448+IF(A449&gt;Penalty!$B$19,Penalty!$I$5,0)+G448,0)</f>
        <v>0</v>
      </c>
      <c r="E449" s="26" t="n">
        <f aca="false">D449*B449/365</f>
        <v>0</v>
      </c>
      <c r="F449" s="25" t="n">
        <f aca="false">F448+E449*(1-IF(D449&gt;0,(IF(A449&gt;Penalty!$B$19,Penalty!$I$5,0)+G448)/D449,0))</f>
        <v>345.789278153858</v>
      </c>
      <c r="G449" s="25" t="n">
        <f aca="false">G448+E449*IF(D449&gt;0,(IF(A449&gt;Penalty!$B$19,Penalty!$I$5,0)+G448)/D449,0)</f>
        <v>46.6815525507708</v>
      </c>
    </row>
    <row r="450" customFormat="false" ht="15" hidden="false" customHeight="false" outlineLevel="0" collapsed="false">
      <c r="A450" s="23" t="n">
        <f aca="false">Penalty!$B$5+446</f>
        <v>46573</v>
      </c>
      <c r="B450" s="24" t="n">
        <f aca="false">IF(YEAR(A450)&gt;2026,Penalty!$B$16/100,IFERROR(INDEX(Rates!$B$4:$E$15,MATCH(YEAR(A450),Rates!$A$4:$A$15,0),ROUNDUP(MONTH(A450)/3,0))/100,0.03))</f>
        <v>0.07</v>
      </c>
      <c r="C450" s="25" t="n">
        <f aca="false">MAX(0,Penalty!$B$4-SUMIFS(Penalty!$C$10:$C$12,Penalty!$B$10:$B$12,"&lt;"&amp;A450))</f>
        <v>12000</v>
      </c>
      <c r="D450" s="25" t="n">
        <f aca="false">IF(A450&lt;=Penalty!$B$8,C450+F449+IF(A450&gt;Penalty!$B$19,Penalty!$I$5,0)+G449,0)</f>
        <v>0</v>
      </c>
      <c r="E450" s="26" t="n">
        <f aca="false">D450*B450/365</f>
        <v>0</v>
      </c>
      <c r="F450" s="25" t="n">
        <f aca="false">F449+E450*(1-IF(D450&gt;0,(IF(A450&gt;Penalty!$B$19,Penalty!$I$5,0)+G449)/D450,0))</f>
        <v>345.789278153858</v>
      </c>
      <c r="G450" s="25" t="n">
        <f aca="false">G449+E450*IF(D450&gt;0,(IF(A450&gt;Penalty!$B$19,Penalty!$I$5,0)+G449)/D450,0)</f>
        <v>46.6815525507708</v>
      </c>
    </row>
    <row r="451" customFormat="false" ht="15" hidden="false" customHeight="false" outlineLevel="0" collapsed="false">
      <c r="A451" s="23" t="n">
        <f aca="false">Penalty!$B$5+447</f>
        <v>46574</v>
      </c>
      <c r="B451" s="24" t="n">
        <f aca="false">IF(YEAR(A451)&gt;2026,Penalty!$B$16/100,IFERROR(INDEX(Rates!$B$4:$E$15,MATCH(YEAR(A451),Rates!$A$4:$A$15,0),ROUNDUP(MONTH(A451)/3,0))/100,0.03))</f>
        <v>0.07</v>
      </c>
      <c r="C451" s="25" t="n">
        <f aca="false">MAX(0,Penalty!$B$4-SUMIFS(Penalty!$C$10:$C$12,Penalty!$B$10:$B$12,"&lt;"&amp;A451))</f>
        <v>12000</v>
      </c>
      <c r="D451" s="25" t="n">
        <f aca="false">IF(A451&lt;=Penalty!$B$8,C451+F450+IF(A451&gt;Penalty!$B$19,Penalty!$I$5,0)+G450,0)</f>
        <v>0</v>
      </c>
      <c r="E451" s="26" t="n">
        <f aca="false">D451*B451/365</f>
        <v>0</v>
      </c>
      <c r="F451" s="25" t="n">
        <f aca="false">F450+E451*(1-IF(D451&gt;0,(IF(A451&gt;Penalty!$B$19,Penalty!$I$5,0)+G450)/D451,0))</f>
        <v>345.789278153858</v>
      </c>
      <c r="G451" s="25" t="n">
        <f aca="false">G450+E451*IF(D451&gt;0,(IF(A451&gt;Penalty!$B$19,Penalty!$I$5,0)+G450)/D451,0)</f>
        <v>46.6815525507708</v>
      </c>
    </row>
    <row r="452" customFormat="false" ht="15" hidden="false" customHeight="false" outlineLevel="0" collapsed="false">
      <c r="A452" s="23" t="n">
        <f aca="false">Penalty!$B$5+448</f>
        <v>46575</v>
      </c>
      <c r="B452" s="24" t="n">
        <f aca="false">IF(YEAR(A452)&gt;2026,Penalty!$B$16/100,IFERROR(INDEX(Rates!$B$4:$E$15,MATCH(YEAR(A452),Rates!$A$4:$A$15,0),ROUNDUP(MONTH(A452)/3,0))/100,0.03))</f>
        <v>0.07</v>
      </c>
      <c r="C452" s="25" t="n">
        <f aca="false">MAX(0,Penalty!$B$4-SUMIFS(Penalty!$C$10:$C$12,Penalty!$B$10:$B$12,"&lt;"&amp;A452))</f>
        <v>12000</v>
      </c>
      <c r="D452" s="25" t="n">
        <f aca="false">IF(A452&lt;=Penalty!$B$8,C452+F451+IF(A452&gt;Penalty!$B$19,Penalty!$I$5,0)+G451,0)</f>
        <v>0</v>
      </c>
      <c r="E452" s="26" t="n">
        <f aca="false">D452*B452/365</f>
        <v>0</v>
      </c>
      <c r="F452" s="25" t="n">
        <f aca="false">F451+E452*(1-IF(D452&gt;0,(IF(A452&gt;Penalty!$B$19,Penalty!$I$5,0)+G451)/D452,0))</f>
        <v>345.789278153858</v>
      </c>
      <c r="G452" s="25" t="n">
        <f aca="false">G451+E452*IF(D452&gt;0,(IF(A452&gt;Penalty!$B$19,Penalty!$I$5,0)+G451)/D452,0)</f>
        <v>46.6815525507708</v>
      </c>
    </row>
    <row r="453" customFormat="false" ht="15" hidden="false" customHeight="false" outlineLevel="0" collapsed="false">
      <c r="A453" s="23" t="n">
        <f aca="false">Penalty!$B$5+449</f>
        <v>46576</v>
      </c>
      <c r="B453" s="24" t="n">
        <f aca="false">IF(YEAR(A453)&gt;2026,Penalty!$B$16/100,IFERROR(INDEX(Rates!$B$4:$E$15,MATCH(YEAR(A453),Rates!$A$4:$A$15,0),ROUNDUP(MONTH(A453)/3,0))/100,0.03))</f>
        <v>0.07</v>
      </c>
      <c r="C453" s="25" t="n">
        <f aca="false">MAX(0,Penalty!$B$4-SUMIFS(Penalty!$C$10:$C$12,Penalty!$B$10:$B$12,"&lt;"&amp;A453))</f>
        <v>12000</v>
      </c>
      <c r="D453" s="25" t="n">
        <f aca="false">IF(A453&lt;=Penalty!$B$8,C453+F452+IF(A453&gt;Penalty!$B$19,Penalty!$I$5,0)+G452,0)</f>
        <v>0</v>
      </c>
      <c r="E453" s="26" t="n">
        <f aca="false">D453*B453/365</f>
        <v>0</v>
      </c>
      <c r="F453" s="25" t="n">
        <f aca="false">F452+E453*(1-IF(D453&gt;0,(IF(A453&gt;Penalty!$B$19,Penalty!$I$5,0)+G452)/D453,0))</f>
        <v>345.789278153858</v>
      </c>
      <c r="G453" s="25" t="n">
        <f aca="false">G452+E453*IF(D453&gt;0,(IF(A453&gt;Penalty!$B$19,Penalty!$I$5,0)+G452)/D453,0)</f>
        <v>46.6815525507708</v>
      </c>
    </row>
    <row r="454" customFormat="false" ht="15" hidden="false" customHeight="false" outlineLevel="0" collapsed="false">
      <c r="A454" s="23" t="n">
        <f aca="false">Penalty!$B$5+450</f>
        <v>46577</v>
      </c>
      <c r="B454" s="24" t="n">
        <f aca="false">IF(YEAR(A454)&gt;2026,Penalty!$B$16/100,IFERROR(INDEX(Rates!$B$4:$E$15,MATCH(YEAR(A454),Rates!$A$4:$A$15,0),ROUNDUP(MONTH(A454)/3,0))/100,0.03))</f>
        <v>0.07</v>
      </c>
      <c r="C454" s="25" t="n">
        <f aca="false">MAX(0,Penalty!$B$4-SUMIFS(Penalty!$C$10:$C$12,Penalty!$B$10:$B$12,"&lt;"&amp;A454))</f>
        <v>12000</v>
      </c>
      <c r="D454" s="25" t="n">
        <f aca="false">IF(A454&lt;=Penalty!$B$8,C454+F453+IF(A454&gt;Penalty!$B$19,Penalty!$I$5,0)+G453,0)</f>
        <v>0</v>
      </c>
      <c r="E454" s="26" t="n">
        <f aca="false">D454*B454/365</f>
        <v>0</v>
      </c>
      <c r="F454" s="25" t="n">
        <f aca="false">F453+E454*(1-IF(D454&gt;0,(IF(A454&gt;Penalty!$B$19,Penalty!$I$5,0)+G453)/D454,0))</f>
        <v>345.789278153858</v>
      </c>
      <c r="G454" s="25" t="n">
        <f aca="false">G453+E454*IF(D454&gt;0,(IF(A454&gt;Penalty!$B$19,Penalty!$I$5,0)+G453)/D454,0)</f>
        <v>46.6815525507708</v>
      </c>
    </row>
    <row r="455" customFormat="false" ht="15" hidden="false" customHeight="false" outlineLevel="0" collapsed="false">
      <c r="A455" s="23" t="n">
        <f aca="false">Penalty!$B$5+451</f>
        <v>46578</v>
      </c>
      <c r="B455" s="24" t="n">
        <f aca="false">IF(YEAR(A455)&gt;2026,Penalty!$B$16/100,IFERROR(INDEX(Rates!$B$4:$E$15,MATCH(YEAR(A455),Rates!$A$4:$A$15,0),ROUNDUP(MONTH(A455)/3,0))/100,0.03))</f>
        <v>0.07</v>
      </c>
      <c r="C455" s="25" t="n">
        <f aca="false">MAX(0,Penalty!$B$4-SUMIFS(Penalty!$C$10:$C$12,Penalty!$B$10:$B$12,"&lt;"&amp;A455))</f>
        <v>12000</v>
      </c>
      <c r="D455" s="25" t="n">
        <f aca="false">IF(A455&lt;=Penalty!$B$8,C455+F454+IF(A455&gt;Penalty!$B$19,Penalty!$I$5,0)+G454,0)</f>
        <v>0</v>
      </c>
      <c r="E455" s="26" t="n">
        <f aca="false">D455*B455/365</f>
        <v>0</v>
      </c>
      <c r="F455" s="25" t="n">
        <f aca="false">F454+E455*(1-IF(D455&gt;0,(IF(A455&gt;Penalty!$B$19,Penalty!$I$5,0)+G454)/D455,0))</f>
        <v>345.789278153858</v>
      </c>
      <c r="G455" s="25" t="n">
        <f aca="false">G454+E455*IF(D455&gt;0,(IF(A455&gt;Penalty!$B$19,Penalty!$I$5,0)+G454)/D455,0)</f>
        <v>46.6815525507708</v>
      </c>
    </row>
    <row r="456" customFormat="false" ht="15" hidden="false" customHeight="false" outlineLevel="0" collapsed="false">
      <c r="A456" s="23" t="n">
        <f aca="false">Penalty!$B$5+452</f>
        <v>46579</v>
      </c>
      <c r="B456" s="24" t="n">
        <f aca="false">IF(YEAR(A456)&gt;2026,Penalty!$B$16/100,IFERROR(INDEX(Rates!$B$4:$E$15,MATCH(YEAR(A456),Rates!$A$4:$A$15,0),ROUNDUP(MONTH(A456)/3,0))/100,0.03))</f>
        <v>0.07</v>
      </c>
      <c r="C456" s="25" t="n">
        <f aca="false">MAX(0,Penalty!$B$4-SUMIFS(Penalty!$C$10:$C$12,Penalty!$B$10:$B$12,"&lt;"&amp;A456))</f>
        <v>12000</v>
      </c>
      <c r="D456" s="25" t="n">
        <f aca="false">IF(A456&lt;=Penalty!$B$8,C456+F455+IF(A456&gt;Penalty!$B$19,Penalty!$I$5,0)+G455,0)</f>
        <v>0</v>
      </c>
      <c r="E456" s="26" t="n">
        <f aca="false">D456*B456/365</f>
        <v>0</v>
      </c>
      <c r="F456" s="25" t="n">
        <f aca="false">F455+E456*(1-IF(D456&gt;0,(IF(A456&gt;Penalty!$B$19,Penalty!$I$5,0)+G455)/D456,0))</f>
        <v>345.789278153858</v>
      </c>
      <c r="G456" s="25" t="n">
        <f aca="false">G455+E456*IF(D456&gt;0,(IF(A456&gt;Penalty!$B$19,Penalty!$I$5,0)+G455)/D456,0)</f>
        <v>46.6815525507708</v>
      </c>
    </row>
    <row r="457" customFormat="false" ht="15" hidden="false" customHeight="false" outlineLevel="0" collapsed="false">
      <c r="A457" s="23" t="n">
        <f aca="false">Penalty!$B$5+453</f>
        <v>46580</v>
      </c>
      <c r="B457" s="24" t="n">
        <f aca="false">IF(YEAR(A457)&gt;2026,Penalty!$B$16/100,IFERROR(INDEX(Rates!$B$4:$E$15,MATCH(YEAR(A457),Rates!$A$4:$A$15,0),ROUNDUP(MONTH(A457)/3,0))/100,0.03))</f>
        <v>0.07</v>
      </c>
      <c r="C457" s="25" t="n">
        <f aca="false">MAX(0,Penalty!$B$4-SUMIFS(Penalty!$C$10:$C$12,Penalty!$B$10:$B$12,"&lt;"&amp;A457))</f>
        <v>12000</v>
      </c>
      <c r="D457" s="25" t="n">
        <f aca="false">IF(A457&lt;=Penalty!$B$8,C457+F456+IF(A457&gt;Penalty!$B$19,Penalty!$I$5,0)+G456,0)</f>
        <v>0</v>
      </c>
      <c r="E457" s="26" t="n">
        <f aca="false">D457*B457/365</f>
        <v>0</v>
      </c>
      <c r="F457" s="25" t="n">
        <f aca="false">F456+E457*(1-IF(D457&gt;0,(IF(A457&gt;Penalty!$B$19,Penalty!$I$5,0)+G456)/D457,0))</f>
        <v>345.789278153858</v>
      </c>
      <c r="G457" s="25" t="n">
        <f aca="false">G456+E457*IF(D457&gt;0,(IF(A457&gt;Penalty!$B$19,Penalty!$I$5,0)+G456)/D457,0)</f>
        <v>46.6815525507708</v>
      </c>
    </row>
    <row r="458" customFormat="false" ht="15" hidden="false" customHeight="false" outlineLevel="0" collapsed="false">
      <c r="A458" s="23" t="n">
        <f aca="false">Penalty!$B$5+454</f>
        <v>46581</v>
      </c>
      <c r="B458" s="24" t="n">
        <f aca="false">IF(YEAR(A458)&gt;2026,Penalty!$B$16/100,IFERROR(INDEX(Rates!$B$4:$E$15,MATCH(YEAR(A458),Rates!$A$4:$A$15,0),ROUNDUP(MONTH(A458)/3,0))/100,0.03))</f>
        <v>0.07</v>
      </c>
      <c r="C458" s="25" t="n">
        <f aca="false">MAX(0,Penalty!$B$4-SUMIFS(Penalty!$C$10:$C$12,Penalty!$B$10:$B$12,"&lt;"&amp;A458))</f>
        <v>12000</v>
      </c>
      <c r="D458" s="25" t="n">
        <f aca="false">IF(A458&lt;=Penalty!$B$8,C458+F457+IF(A458&gt;Penalty!$B$19,Penalty!$I$5,0)+G457,0)</f>
        <v>0</v>
      </c>
      <c r="E458" s="26" t="n">
        <f aca="false">D458*B458/365</f>
        <v>0</v>
      </c>
      <c r="F458" s="25" t="n">
        <f aca="false">F457+E458*(1-IF(D458&gt;0,(IF(A458&gt;Penalty!$B$19,Penalty!$I$5,0)+G457)/D458,0))</f>
        <v>345.789278153858</v>
      </c>
      <c r="G458" s="25" t="n">
        <f aca="false">G457+E458*IF(D458&gt;0,(IF(A458&gt;Penalty!$B$19,Penalty!$I$5,0)+G457)/D458,0)</f>
        <v>46.6815525507708</v>
      </c>
    </row>
    <row r="459" customFormat="false" ht="15" hidden="false" customHeight="false" outlineLevel="0" collapsed="false">
      <c r="A459" s="23" t="n">
        <f aca="false">Penalty!$B$5+455</f>
        <v>46582</v>
      </c>
      <c r="B459" s="24" t="n">
        <f aca="false">IF(YEAR(A459)&gt;2026,Penalty!$B$16/100,IFERROR(INDEX(Rates!$B$4:$E$15,MATCH(YEAR(A459),Rates!$A$4:$A$15,0),ROUNDUP(MONTH(A459)/3,0))/100,0.03))</f>
        <v>0.07</v>
      </c>
      <c r="C459" s="25" t="n">
        <f aca="false">MAX(0,Penalty!$B$4-SUMIFS(Penalty!$C$10:$C$12,Penalty!$B$10:$B$12,"&lt;"&amp;A459))</f>
        <v>12000</v>
      </c>
      <c r="D459" s="25" t="n">
        <f aca="false">IF(A459&lt;=Penalty!$B$8,C459+F458+IF(A459&gt;Penalty!$B$19,Penalty!$I$5,0)+G458,0)</f>
        <v>0</v>
      </c>
      <c r="E459" s="26" t="n">
        <f aca="false">D459*B459/365</f>
        <v>0</v>
      </c>
      <c r="F459" s="25" t="n">
        <f aca="false">F458+E459*(1-IF(D459&gt;0,(IF(A459&gt;Penalty!$B$19,Penalty!$I$5,0)+G458)/D459,0))</f>
        <v>345.789278153858</v>
      </c>
      <c r="G459" s="25" t="n">
        <f aca="false">G458+E459*IF(D459&gt;0,(IF(A459&gt;Penalty!$B$19,Penalty!$I$5,0)+G458)/D459,0)</f>
        <v>46.6815525507708</v>
      </c>
    </row>
    <row r="460" customFormat="false" ht="15" hidden="false" customHeight="false" outlineLevel="0" collapsed="false">
      <c r="A460" s="23" t="n">
        <f aca="false">Penalty!$B$5+456</f>
        <v>46583</v>
      </c>
      <c r="B460" s="24" t="n">
        <f aca="false">IF(YEAR(A460)&gt;2026,Penalty!$B$16/100,IFERROR(INDEX(Rates!$B$4:$E$15,MATCH(YEAR(A460),Rates!$A$4:$A$15,0),ROUNDUP(MONTH(A460)/3,0))/100,0.03))</f>
        <v>0.07</v>
      </c>
      <c r="C460" s="25" t="n">
        <f aca="false">MAX(0,Penalty!$B$4-SUMIFS(Penalty!$C$10:$C$12,Penalty!$B$10:$B$12,"&lt;"&amp;A460))</f>
        <v>12000</v>
      </c>
      <c r="D460" s="25" t="n">
        <f aca="false">IF(A460&lt;=Penalty!$B$8,C460+F459+IF(A460&gt;Penalty!$B$19,Penalty!$I$5,0)+G459,0)</f>
        <v>0</v>
      </c>
      <c r="E460" s="26" t="n">
        <f aca="false">D460*B460/365</f>
        <v>0</v>
      </c>
      <c r="F460" s="25" t="n">
        <f aca="false">F459+E460*(1-IF(D460&gt;0,(IF(A460&gt;Penalty!$B$19,Penalty!$I$5,0)+G459)/D460,0))</f>
        <v>345.789278153858</v>
      </c>
      <c r="G460" s="25" t="n">
        <f aca="false">G459+E460*IF(D460&gt;0,(IF(A460&gt;Penalty!$B$19,Penalty!$I$5,0)+G459)/D460,0)</f>
        <v>46.6815525507708</v>
      </c>
    </row>
    <row r="461" customFormat="false" ht="15" hidden="false" customHeight="false" outlineLevel="0" collapsed="false">
      <c r="A461" s="23" t="n">
        <f aca="false">Penalty!$B$5+457</f>
        <v>46584</v>
      </c>
      <c r="B461" s="24" t="n">
        <f aca="false">IF(YEAR(A461)&gt;2026,Penalty!$B$16/100,IFERROR(INDEX(Rates!$B$4:$E$15,MATCH(YEAR(A461),Rates!$A$4:$A$15,0),ROUNDUP(MONTH(A461)/3,0))/100,0.03))</f>
        <v>0.07</v>
      </c>
      <c r="C461" s="25" t="n">
        <f aca="false">MAX(0,Penalty!$B$4-SUMIFS(Penalty!$C$10:$C$12,Penalty!$B$10:$B$12,"&lt;"&amp;A461))</f>
        <v>12000</v>
      </c>
      <c r="D461" s="25" t="n">
        <f aca="false">IF(A461&lt;=Penalty!$B$8,C461+F460+IF(A461&gt;Penalty!$B$19,Penalty!$I$5,0)+G460,0)</f>
        <v>0</v>
      </c>
      <c r="E461" s="26" t="n">
        <f aca="false">D461*B461/365</f>
        <v>0</v>
      </c>
      <c r="F461" s="25" t="n">
        <f aca="false">F460+E461*(1-IF(D461&gt;0,(IF(A461&gt;Penalty!$B$19,Penalty!$I$5,0)+G460)/D461,0))</f>
        <v>345.789278153858</v>
      </c>
      <c r="G461" s="25" t="n">
        <f aca="false">G460+E461*IF(D461&gt;0,(IF(A461&gt;Penalty!$B$19,Penalty!$I$5,0)+G460)/D461,0)</f>
        <v>46.6815525507708</v>
      </c>
    </row>
    <row r="462" customFormat="false" ht="15" hidden="false" customHeight="false" outlineLevel="0" collapsed="false">
      <c r="A462" s="23" t="n">
        <f aca="false">Penalty!$B$5+458</f>
        <v>46585</v>
      </c>
      <c r="B462" s="24" t="n">
        <f aca="false">IF(YEAR(A462)&gt;2026,Penalty!$B$16/100,IFERROR(INDEX(Rates!$B$4:$E$15,MATCH(YEAR(A462),Rates!$A$4:$A$15,0),ROUNDUP(MONTH(A462)/3,0))/100,0.03))</f>
        <v>0.07</v>
      </c>
      <c r="C462" s="25" t="n">
        <f aca="false">MAX(0,Penalty!$B$4-SUMIFS(Penalty!$C$10:$C$12,Penalty!$B$10:$B$12,"&lt;"&amp;A462))</f>
        <v>12000</v>
      </c>
      <c r="D462" s="25" t="n">
        <f aca="false">IF(A462&lt;=Penalty!$B$8,C462+F461+IF(A462&gt;Penalty!$B$19,Penalty!$I$5,0)+G461,0)</f>
        <v>0</v>
      </c>
      <c r="E462" s="26" t="n">
        <f aca="false">D462*B462/365</f>
        <v>0</v>
      </c>
      <c r="F462" s="25" t="n">
        <f aca="false">F461+E462*(1-IF(D462&gt;0,(IF(A462&gt;Penalty!$B$19,Penalty!$I$5,0)+G461)/D462,0))</f>
        <v>345.789278153858</v>
      </c>
      <c r="G462" s="25" t="n">
        <f aca="false">G461+E462*IF(D462&gt;0,(IF(A462&gt;Penalty!$B$19,Penalty!$I$5,0)+G461)/D462,0)</f>
        <v>46.6815525507708</v>
      </c>
    </row>
    <row r="463" customFormat="false" ht="15" hidden="false" customHeight="false" outlineLevel="0" collapsed="false">
      <c r="A463" s="23" t="n">
        <f aca="false">Penalty!$B$5+459</f>
        <v>46586</v>
      </c>
      <c r="B463" s="24" t="n">
        <f aca="false">IF(YEAR(A463)&gt;2026,Penalty!$B$16/100,IFERROR(INDEX(Rates!$B$4:$E$15,MATCH(YEAR(A463),Rates!$A$4:$A$15,0),ROUNDUP(MONTH(A463)/3,0))/100,0.03))</f>
        <v>0.07</v>
      </c>
      <c r="C463" s="25" t="n">
        <f aca="false">MAX(0,Penalty!$B$4-SUMIFS(Penalty!$C$10:$C$12,Penalty!$B$10:$B$12,"&lt;"&amp;A463))</f>
        <v>12000</v>
      </c>
      <c r="D463" s="25" t="n">
        <f aca="false">IF(A463&lt;=Penalty!$B$8,C463+F462+IF(A463&gt;Penalty!$B$19,Penalty!$I$5,0)+G462,0)</f>
        <v>0</v>
      </c>
      <c r="E463" s="26" t="n">
        <f aca="false">D463*B463/365</f>
        <v>0</v>
      </c>
      <c r="F463" s="25" t="n">
        <f aca="false">F462+E463*(1-IF(D463&gt;0,(IF(A463&gt;Penalty!$B$19,Penalty!$I$5,0)+G462)/D463,0))</f>
        <v>345.789278153858</v>
      </c>
      <c r="G463" s="25" t="n">
        <f aca="false">G462+E463*IF(D463&gt;0,(IF(A463&gt;Penalty!$B$19,Penalty!$I$5,0)+G462)/D463,0)</f>
        <v>46.6815525507708</v>
      </c>
    </row>
    <row r="464" customFormat="false" ht="15" hidden="false" customHeight="false" outlineLevel="0" collapsed="false">
      <c r="A464" s="23" t="n">
        <f aca="false">Penalty!$B$5+460</f>
        <v>46587</v>
      </c>
      <c r="B464" s="24" t="n">
        <f aca="false">IF(YEAR(A464)&gt;2026,Penalty!$B$16/100,IFERROR(INDEX(Rates!$B$4:$E$15,MATCH(YEAR(A464),Rates!$A$4:$A$15,0),ROUNDUP(MONTH(A464)/3,0))/100,0.03))</f>
        <v>0.07</v>
      </c>
      <c r="C464" s="25" t="n">
        <f aca="false">MAX(0,Penalty!$B$4-SUMIFS(Penalty!$C$10:$C$12,Penalty!$B$10:$B$12,"&lt;"&amp;A464))</f>
        <v>12000</v>
      </c>
      <c r="D464" s="25" t="n">
        <f aca="false">IF(A464&lt;=Penalty!$B$8,C464+F463+IF(A464&gt;Penalty!$B$19,Penalty!$I$5,0)+G463,0)</f>
        <v>0</v>
      </c>
      <c r="E464" s="26" t="n">
        <f aca="false">D464*B464/365</f>
        <v>0</v>
      </c>
      <c r="F464" s="25" t="n">
        <f aca="false">F463+E464*(1-IF(D464&gt;0,(IF(A464&gt;Penalty!$B$19,Penalty!$I$5,0)+G463)/D464,0))</f>
        <v>345.789278153858</v>
      </c>
      <c r="G464" s="25" t="n">
        <f aca="false">G463+E464*IF(D464&gt;0,(IF(A464&gt;Penalty!$B$19,Penalty!$I$5,0)+G463)/D464,0)</f>
        <v>46.6815525507708</v>
      </c>
    </row>
    <row r="465" customFormat="false" ht="15" hidden="false" customHeight="false" outlineLevel="0" collapsed="false">
      <c r="A465" s="23" t="n">
        <f aca="false">Penalty!$B$5+461</f>
        <v>46588</v>
      </c>
      <c r="B465" s="24" t="n">
        <f aca="false">IF(YEAR(A465)&gt;2026,Penalty!$B$16/100,IFERROR(INDEX(Rates!$B$4:$E$15,MATCH(YEAR(A465),Rates!$A$4:$A$15,0),ROUNDUP(MONTH(A465)/3,0))/100,0.03))</f>
        <v>0.07</v>
      </c>
      <c r="C465" s="25" t="n">
        <f aca="false">MAX(0,Penalty!$B$4-SUMIFS(Penalty!$C$10:$C$12,Penalty!$B$10:$B$12,"&lt;"&amp;A465))</f>
        <v>12000</v>
      </c>
      <c r="D465" s="25" t="n">
        <f aca="false">IF(A465&lt;=Penalty!$B$8,C465+F464+IF(A465&gt;Penalty!$B$19,Penalty!$I$5,0)+G464,0)</f>
        <v>0</v>
      </c>
      <c r="E465" s="26" t="n">
        <f aca="false">D465*B465/365</f>
        <v>0</v>
      </c>
      <c r="F465" s="25" t="n">
        <f aca="false">F464+E465*(1-IF(D465&gt;0,(IF(A465&gt;Penalty!$B$19,Penalty!$I$5,0)+G464)/D465,0))</f>
        <v>345.789278153858</v>
      </c>
      <c r="G465" s="25" t="n">
        <f aca="false">G464+E465*IF(D465&gt;0,(IF(A465&gt;Penalty!$B$19,Penalty!$I$5,0)+G464)/D465,0)</f>
        <v>46.6815525507708</v>
      </c>
    </row>
    <row r="466" customFormat="false" ht="15" hidden="false" customHeight="false" outlineLevel="0" collapsed="false">
      <c r="A466" s="23" t="n">
        <f aca="false">Penalty!$B$5+462</f>
        <v>46589</v>
      </c>
      <c r="B466" s="24" t="n">
        <f aca="false">IF(YEAR(A466)&gt;2026,Penalty!$B$16/100,IFERROR(INDEX(Rates!$B$4:$E$15,MATCH(YEAR(A466),Rates!$A$4:$A$15,0),ROUNDUP(MONTH(A466)/3,0))/100,0.03))</f>
        <v>0.07</v>
      </c>
      <c r="C466" s="25" t="n">
        <f aca="false">MAX(0,Penalty!$B$4-SUMIFS(Penalty!$C$10:$C$12,Penalty!$B$10:$B$12,"&lt;"&amp;A466))</f>
        <v>12000</v>
      </c>
      <c r="D466" s="25" t="n">
        <f aca="false">IF(A466&lt;=Penalty!$B$8,C466+F465+IF(A466&gt;Penalty!$B$19,Penalty!$I$5,0)+G465,0)</f>
        <v>0</v>
      </c>
      <c r="E466" s="26" t="n">
        <f aca="false">D466*B466/365</f>
        <v>0</v>
      </c>
      <c r="F466" s="25" t="n">
        <f aca="false">F465+E466*(1-IF(D466&gt;0,(IF(A466&gt;Penalty!$B$19,Penalty!$I$5,0)+G465)/D466,0))</f>
        <v>345.789278153858</v>
      </c>
      <c r="G466" s="25" t="n">
        <f aca="false">G465+E466*IF(D466&gt;0,(IF(A466&gt;Penalty!$B$19,Penalty!$I$5,0)+G465)/D466,0)</f>
        <v>46.6815525507708</v>
      </c>
    </row>
    <row r="467" customFormat="false" ht="15" hidden="false" customHeight="false" outlineLevel="0" collapsed="false">
      <c r="A467" s="23" t="n">
        <f aca="false">Penalty!$B$5+463</f>
        <v>46590</v>
      </c>
      <c r="B467" s="24" t="n">
        <f aca="false">IF(YEAR(A467)&gt;2026,Penalty!$B$16/100,IFERROR(INDEX(Rates!$B$4:$E$15,MATCH(YEAR(A467),Rates!$A$4:$A$15,0),ROUNDUP(MONTH(A467)/3,0))/100,0.03))</f>
        <v>0.07</v>
      </c>
      <c r="C467" s="25" t="n">
        <f aca="false">MAX(0,Penalty!$B$4-SUMIFS(Penalty!$C$10:$C$12,Penalty!$B$10:$B$12,"&lt;"&amp;A467))</f>
        <v>12000</v>
      </c>
      <c r="D467" s="25" t="n">
        <f aca="false">IF(A467&lt;=Penalty!$B$8,C467+F466+IF(A467&gt;Penalty!$B$19,Penalty!$I$5,0)+G466,0)</f>
        <v>0</v>
      </c>
      <c r="E467" s="26" t="n">
        <f aca="false">D467*B467/365</f>
        <v>0</v>
      </c>
      <c r="F467" s="25" t="n">
        <f aca="false">F466+E467*(1-IF(D467&gt;0,(IF(A467&gt;Penalty!$B$19,Penalty!$I$5,0)+G466)/D467,0))</f>
        <v>345.789278153858</v>
      </c>
      <c r="G467" s="25" t="n">
        <f aca="false">G466+E467*IF(D467&gt;0,(IF(A467&gt;Penalty!$B$19,Penalty!$I$5,0)+G466)/D467,0)</f>
        <v>46.6815525507708</v>
      </c>
    </row>
    <row r="468" customFormat="false" ht="15" hidden="false" customHeight="false" outlineLevel="0" collapsed="false">
      <c r="A468" s="23" t="n">
        <f aca="false">Penalty!$B$5+464</f>
        <v>46591</v>
      </c>
      <c r="B468" s="24" t="n">
        <f aca="false">IF(YEAR(A468)&gt;2026,Penalty!$B$16/100,IFERROR(INDEX(Rates!$B$4:$E$15,MATCH(YEAR(A468),Rates!$A$4:$A$15,0),ROUNDUP(MONTH(A468)/3,0))/100,0.03))</f>
        <v>0.07</v>
      </c>
      <c r="C468" s="25" t="n">
        <f aca="false">MAX(0,Penalty!$B$4-SUMIFS(Penalty!$C$10:$C$12,Penalty!$B$10:$B$12,"&lt;"&amp;A468))</f>
        <v>12000</v>
      </c>
      <c r="D468" s="25" t="n">
        <f aca="false">IF(A468&lt;=Penalty!$B$8,C468+F467+IF(A468&gt;Penalty!$B$19,Penalty!$I$5,0)+G467,0)</f>
        <v>0</v>
      </c>
      <c r="E468" s="26" t="n">
        <f aca="false">D468*B468/365</f>
        <v>0</v>
      </c>
      <c r="F468" s="25" t="n">
        <f aca="false">F467+E468*(1-IF(D468&gt;0,(IF(A468&gt;Penalty!$B$19,Penalty!$I$5,0)+G467)/D468,0))</f>
        <v>345.789278153858</v>
      </c>
      <c r="G468" s="25" t="n">
        <f aca="false">G467+E468*IF(D468&gt;0,(IF(A468&gt;Penalty!$B$19,Penalty!$I$5,0)+G467)/D468,0)</f>
        <v>46.6815525507708</v>
      </c>
    </row>
    <row r="469" customFormat="false" ht="15" hidden="false" customHeight="false" outlineLevel="0" collapsed="false">
      <c r="A469" s="23" t="n">
        <f aca="false">Penalty!$B$5+465</f>
        <v>46592</v>
      </c>
      <c r="B469" s="24" t="n">
        <f aca="false">IF(YEAR(A469)&gt;2026,Penalty!$B$16/100,IFERROR(INDEX(Rates!$B$4:$E$15,MATCH(YEAR(A469),Rates!$A$4:$A$15,0),ROUNDUP(MONTH(A469)/3,0))/100,0.03))</f>
        <v>0.07</v>
      </c>
      <c r="C469" s="25" t="n">
        <f aca="false">MAX(0,Penalty!$B$4-SUMIFS(Penalty!$C$10:$C$12,Penalty!$B$10:$B$12,"&lt;"&amp;A469))</f>
        <v>12000</v>
      </c>
      <c r="D469" s="25" t="n">
        <f aca="false">IF(A469&lt;=Penalty!$B$8,C469+F468+IF(A469&gt;Penalty!$B$19,Penalty!$I$5,0)+G468,0)</f>
        <v>0</v>
      </c>
      <c r="E469" s="26" t="n">
        <f aca="false">D469*B469/365</f>
        <v>0</v>
      </c>
      <c r="F469" s="25" t="n">
        <f aca="false">F468+E469*(1-IF(D469&gt;0,(IF(A469&gt;Penalty!$B$19,Penalty!$I$5,0)+G468)/D469,0))</f>
        <v>345.789278153858</v>
      </c>
      <c r="G469" s="25" t="n">
        <f aca="false">G468+E469*IF(D469&gt;0,(IF(A469&gt;Penalty!$B$19,Penalty!$I$5,0)+G468)/D469,0)</f>
        <v>46.6815525507708</v>
      </c>
    </row>
    <row r="470" customFormat="false" ht="15" hidden="false" customHeight="false" outlineLevel="0" collapsed="false">
      <c r="A470" s="23" t="n">
        <f aca="false">Penalty!$B$5+466</f>
        <v>46593</v>
      </c>
      <c r="B470" s="24" t="n">
        <f aca="false">IF(YEAR(A470)&gt;2026,Penalty!$B$16/100,IFERROR(INDEX(Rates!$B$4:$E$15,MATCH(YEAR(A470),Rates!$A$4:$A$15,0),ROUNDUP(MONTH(A470)/3,0))/100,0.03))</f>
        <v>0.07</v>
      </c>
      <c r="C470" s="25" t="n">
        <f aca="false">MAX(0,Penalty!$B$4-SUMIFS(Penalty!$C$10:$C$12,Penalty!$B$10:$B$12,"&lt;"&amp;A470))</f>
        <v>12000</v>
      </c>
      <c r="D470" s="25" t="n">
        <f aca="false">IF(A470&lt;=Penalty!$B$8,C470+F469+IF(A470&gt;Penalty!$B$19,Penalty!$I$5,0)+G469,0)</f>
        <v>0</v>
      </c>
      <c r="E470" s="26" t="n">
        <f aca="false">D470*B470/365</f>
        <v>0</v>
      </c>
      <c r="F470" s="25" t="n">
        <f aca="false">F469+E470*(1-IF(D470&gt;0,(IF(A470&gt;Penalty!$B$19,Penalty!$I$5,0)+G469)/D470,0))</f>
        <v>345.789278153858</v>
      </c>
      <c r="G470" s="25" t="n">
        <f aca="false">G469+E470*IF(D470&gt;0,(IF(A470&gt;Penalty!$B$19,Penalty!$I$5,0)+G469)/D470,0)</f>
        <v>46.6815525507708</v>
      </c>
    </row>
    <row r="471" customFormat="false" ht="15" hidden="false" customHeight="false" outlineLevel="0" collapsed="false">
      <c r="A471" s="23" t="n">
        <f aca="false">Penalty!$B$5+467</f>
        <v>46594</v>
      </c>
      <c r="B471" s="24" t="n">
        <f aca="false">IF(YEAR(A471)&gt;2026,Penalty!$B$16/100,IFERROR(INDEX(Rates!$B$4:$E$15,MATCH(YEAR(A471),Rates!$A$4:$A$15,0),ROUNDUP(MONTH(A471)/3,0))/100,0.03))</f>
        <v>0.07</v>
      </c>
      <c r="C471" s="25" t="n">
        <f aca="false">MAX(0,Penalty!$B$4-SUMIFS(Penalty!$C$10:$C$12,Penalty!$B$10:$B$12,"&lt;"&amp;A471))</f>
        <v>12000</v>
      </c>
      <c r="D471" s="25" t="n">
        <f aca="false">IF(A471&lt;=Penalty!$B$8,C471+F470+IF(A471&gt;Penalty!$B$19,Penalty!$I$5,0)+G470,0)</f>
        <v>0</v>
      </c>
      <c r="E471" s="26" t="n">
        <f aca="false">D471*B471/365</f>
        <v>0</v>
      </c>
      <c r="F471" s="25" t="n">
        <f aca="false">F470+E471*(1-IF(D471&gt;0,(IF(A471&gt;Penalty!$B$19,Penalty!$I$5,0)+G470)/D471,0))</f>
        <v>345.789278153858</v>
      </c>
      <c r="G471" s="25" t="n">
        <f aca="false">G470+E471*IF(D471&gt;0,(IF(A471&gt;Penalty!$B$19,Penalty!$I$5,0)+G470)/D471,0)</f>
        <v>46.6815525507708</v>
      </c>
    </row>
    <row r="472" customFormat="false" ht="15" hidden="false" customHeight="false" outlineLevel="0" collapsed="false">
      <c r="A472" s="23" t="n">
        <f aca="false">Penalty!$B$5+468</f>
        <v>46595</v>
      </c>
      <c r="B472" s="24" t="n">
        <f aca="false">IF(YEAR(A472)&gt;2026,Penalty!$B$16/100,IFERROR(INDEX(Rates!$B$4:$E$15,MATCH(YEAR(A472),Rates!$A$4:$A$15,0),ROUNDUP(MONTH(A472)/3,0))/100,0.03))</f>
        <v>0.07</v>
      </c>
      <c r="C472" s="25" t="n">
        <f aca="false">MAX(0,Penalty!$B$4-SUMIFS(Penalty!$C$10:$C$12,Penalty!$B$10:$B$12,"&lt;"&amp;A472))</f>
        <v>12000</v>
      </c>
      <c r="D472" s="25" t="n">
        <f aca="false">IF(A472&lt;=Penalty!$B$8,C472+F471+IF(A472&gt;Penalty!$B$19,Penalty!$I$5,0)+G471,0)</f>
        <v>0</v>
      </c>
      <c r="E472" s="26" t="n">
        <f aca="false">D472*B472/365</f>
        <v>0</v>
      </c>
      <c r="F472" s="25" t="n">
        <f aca="false">F471+E472*(1-IF(D472&gt;0,(IF(A472&gt;Penalty!$B$19,Penalty!$I$5,0)+G471)/D472,0))</f>
        <v>345.789278153858</v>
      </c>
      <c r="G472" s="25" t="n">
        <f aca="false">G471+E472*IF(D472&gt;0,(IF(A472&gt;Penalty!$B$19,Penalty!$I$5,0)+G471)/D472,0)</f>
        <v>46.6815525507708</v>
      </c>
    </row>
    <row r="473" customFormat="false" ht="15" hidden="false" customHeight="false" outlineLevel="0" collapsed="false">
      <c r="A473" s="23" t="n">
        <f aca="false">Penalty!$B$5+469</f>
        <v>46596</v>
      </c>
      <c r="B473" s="24" t="n">
        <f aca="false">IF(YEAR(A473)&gt;2026,Penalty!$B$16/100,IFERROR(INDEX(Rates!$B$4:$E$15,MATCH(YEAR(A473),Rates!$A$4:$A$15,0),ROUNDUP(MONTH(A473)/3,0))/100,0.03))</f>
        <v>0.07</v>
      </c>
      <c r="C473" s="25" t="n">
        <f aca="false">MAX(0,Penalty!$B$4-SUMIFS(Penalty!$C$10:$C$12,Penalty!$B$10:$B$12,"&lt;"&amp;A473))</f>
        <v>12000</v>
      </c>
      <c r="D473" s="25" t="n">
        <f aca="false">IF(A473&lt;=Penalty!$B$8,C473+F472+IF(A473&gt;Penalty!$B$19,Penalty!$I$5,0)+G472,0)</f>
        <v>0</v>
      </c>
      <c r="E473" s="26" t="n">
        <f aca="false">D473*B473/365</f>
        <v>0</v>
      </c>
      <c r="F473" s="25" t="n">
        <f aca="false">F472+E473*(1-IF(D473&gt;0,(IF(A473&gt;Penalty!$B$19,Penalty!$I$5,0)+G472)/D473,0))</f>
        <v>345.789278153858</v>
      </c>
      <c r="G473" s="25" t="n">
        <f aca="false">G472+E473*IF(D473&gt;0,(IF(A473&gt;Penalty!$B$19,Penalty!$I$5,0)+G472)/D473,0)</f>
        <v>46.6815525507708</v>
      </c>
    </row>
    <row r="474" customFormat="false" ht="15" hidden="false" customHeight="false" outlineLevel="0" collapsed="false">
      <c r="A474" s="23" t="n">
        <f aca="false">Penalty!$B$5+470</f>
        <v>46597</v>
      </c>
      <c r="B474" s="24" t="n">
        <f aca="false">IF(YEAR(A474)&gt;2026,Penalty!$B$16/100,IFERROR(INDEX(Rates!$B$4:$E$15,MATCH(YEAR(A474),Rates!$A$4:$A$15,0),ROUNDUP(MONTH(A474)/3,0))/100,0.03))</f>
        <v>0.07</v>
      </c>
      <c r="C474" s="25" t="n">
        <f aca="false">MAX(0,Penalty!$B$4-SUMIFS(Penalty!$C$10:$C$12,Penalty!$B$10:$B$12,"&lt;"&amp;A474))</f>
        <v>12000</v>
      </c>
      <c r="D474" s="25" t="n">
        <f aca="false">IF(A474&lt;=Penalty!$B$8,C474+F473+IF(A474&gt;Penalty!$B$19,Penalty!$I$5,0)+G473,0)</f>
        <v>0</v>
      </c>
      <c r="E474" s="26" t="n">
        <f aca="false">D474*B474/365</f>
        <v>0</v>
      </c>
      <c r="F474" s="25" t="n">
        <f aca="false">F473+E474*(1-IF(D474&gt;0,(IF(A474&gt;Penalty!$B$19,Penalty!$I$5,0)+G473)/D474,0))</f>
        <v>345.789278153858</v>
      </c>
      <c r="G474" s="25" t="n">
        <f aca="false">G473+E474*IF(D474&gt;0,(IF(A474&gt;Penalty!$B$19,Penalty!$I$5,0)+G473)/D474,0)</f>
        <v>46.6815525507708</v>
      </c>
    </row>
    <row r="475" customFormat="false" ht="15" hidden="false" customHeight="false" outlineLevel="0" collapsed="false">
      <c r="A475" s="23" t="n">
        <f aca="false">Penalty!$B$5+471</f>
        <v>46598</v>
      </c>
      <c r="B475" s="24" t="n">
        <f aca="false">IF(YEAR(A475)&gt;2026,Penalty!$B$16/100,IFERROR(INDEX(Rates!$B$4:$E$15,MATCH(YEAR(A475),Rates!$A$4:$A$15,0),ROUNDUP(MONTH(A475)/3,0))/100,0.03))</f>
        <v>0.07</v>
      </c>
      <c r="C475" s="25" t="n">
        <f aca="false">MAX(0,Penalty!$B$4-SUMIFS(Penalty!$C$10:$C$12,Penalty!$B$10:$B$12,"&lt;"&amp;A475))</f>
        <v>12000</v>
      </c>
      <c r="D475" s="25" t="n">
        <f aca="false">IF(A475&lt;=Penalty!$B$8,C475+F474+IF(A475&gt;Penalty!$B$19,Penalty!$I$5,0)+G474,0)</f>
        <v>0</v>
      </c>
      <c r="E475" s="26" t="n">
        <f aca="false">D475*B475/365</f>
        <v>0</v>
      </c>
      <c r="F475" s="25" t="n">
        <f aca="false">F474+E475*(1-IF(D475&gt;0,(IF(A475&gt;Penalty!$B$19,Penalty!$I$5,0)+G474)/D475,0))</f>
        <v>345.789278153858</v>
      </c>
      <c r="G475" s="25" t="n">
        <f aca="false">G474+E475*IF(D475&gt;0,(IF(A475&gt;Penalty!$B$19,Penalty!$I$5,0)+G474)/D475,0)</f>
        <v>46.6815525507708</v>
      </c>
    </row>
    <row r="476" customFormat="false" ht="15" hidden="false" customHeight="false" outlineLevel="0" collapsed="false">
      <c r="A476" s="23" t="n">
        <f aca="false">Penalty!$B$5+472</f>
        <v>46599</v>
      </c>
      <c r="B476" s="24" t="n">
        <f aca="false">IF(YEAR(A476)&gt;2026,Penalty!$B$16/100,IFERROR(INDEX(Rates!$B$4:$E$15,MATCH(YEAR(A476),Rates!$A$4:$A$15,0),ROUNDUP(MONTH(A476)/3,0))/100,0.03))</f>
        <v>0.07</v>
      </c>
      <c r="C476" s="25" t="n">
        <f aca="false">MAX(0,Penalty!$B$4-SUMIFS(Penalty!$C$10:$C$12,Penalty!$B$10:$B$12,"&lt;"&amp;A476))</f>
        <v>12000</v>
      </c>
      <c r="D476" s="25" t="n">
        <f aca="false">IF(A476&lt;=Penalty!$B$8,C476+F475+IF(A476&gt;Penalty!$B$19,Penalty!$I$5,0)+G475,0)</f>
        <v>0</v>
      </c>
      <c r="E476" s="26" t="n">
        <f aca="false">D476*B476/365</f>
        <v>0</v>
      </c>
      <c r="F476" s="25" t="n">
        <f aca="false">F475+E476*(1-IF(D476&gt;0,(IF(A476&gt;Penalty!$B$19,Penalty!$I$5,0)+G475)/D476,0))</f>
        <v>345.789278153858</v>
      </c>
      <c r="G476" s="25" t="n">
        <f aca="false">G475+E476*IF(D476&gt;0,(IF(A476&gt;Penalty!$B$19,Penalty!$I$5,0)+G475)/D476,0)</f>
        <v>46.6815525507708</v>
      </c>
    </row>
    <row r="477" customFormat="false" ht="15" hidden="false" customHeight="false" outlineLevel="0" collapsed="false">
      <c r="A477" s="23" t="n">
        <f aca="false">Penalty!$B$5+473</f>
        <v>46600</v>
      </c>
      <c r="B477" s="24" t="n">
        <f aca="false">IF(YEAR(A477)&gt;2026,Penalty!$B$16/100,IFERROR(INDEX(Rates!$B$4:$E$15,MATCH(YEAR(A477),Rates!$A$4:$A$15,0),ROUNDUP(MONTH(A477)/3,0))/100,0.03))</f>
        <v>0.07</v>
      </c>
      <c r="C477" s="25" t="n">
        <f aca="false">MAX(0,Penalty!$B$4-SUMIFS(Penalty!$C$10:$C$12,Penalty!$B$10:$B$12,"&lt;"&amp;A477))</f>
        <v>12000</v>
      </c>
      <c r="D477" s="25" t="n">
        <f aca="false">IF(A477&lt;=Penalty!$B$8,C477+F476+IF(A477&gt;Penalty!$B$19,Penalty!$I$5,0)+G476,0)</f>
        <v>0</v>
      </c>
      <c r="E477" s="26" t="n">
        <f aca="false">D477*B477/365</f>
        <v>0</v>
      </c>
      <c r="F477" s="25" t="n">
        <f aca="false">F476+E477*(1-IF(D477&gt;0,(IF(A477&gt;Penalty!$B$19,Penalty!$I$5,0)+G476)/D477,0))</f>
        <v>345.789278153858</v>
      </c>
      <c r="G477" s="25" t="n">
        <f aca="false">G476+E477*IF(D477&gt;0,(IF(A477&gt;Penalty!$B$19,Penalty!$I$5,0)+G476)/D477,0)</f>
        <v>46.6815525507708</v>
      </c>
    </row>
    <row r="478" customFormat="false" ht="15" hidden="false" customHeight="false" outlineLevel="0" collapsed="false">
      <c r="A478" s="23" t="n">
        <f aca="false">Penalty!$B$5+474</f>
        <v>46601</v>
      </c>
      <c r="B478" s="24" t="n">
        <f aca="false">IF(YEAR(A478)&gt;2026,Penalty!$B$16/100,IFERROR(INDEX(Rates!$B$4:$E$15,MATCH(YEAR(A478),Rates!$A$4:$A$15,0),ROUNDUP(MONTH(A478)/3,0))/100,0.03))</f>
        <v>0.07</v>
      </c>
      <c r="C478" s="25" t="n">
        <f aca="false">MAX(0,Penalty!$B$4-SUMIFS(Penalty!$C$10:$C$12,Penalty!$B$10:$B$12,"&lt;"&amp;A478))</f>
        <v>12000</v>
      </c>
      <c r="D478" s="25" t="n">
        <f aca="false">IF(A478&lt;=Penalty!$B$8,C478+F477+IF(A478&gt;Penalty!$B$19,Penalty!$I$5,0)+G477,0)</f>
        <v>0</v>
      </c>
      <c r="E478" s="26" t="n">
        <f aca="false">D478*B478/365</f>
        <v>0</v>
      </c>
      <c r="F478" s="25" t="n">
        <f aca="false">F477+E478*(1-IF(D478&gt;0,(IF(A478&gt;Penalty!$B$19,Penalty!$I$5,0)+G477)/D478,0))</f>
        <v>345.789278153858</v>
      </c>
      <c r="G478" s="25" t="n">
        <f aca="false">G477+E478*IF(D478&gt;0,(IF(A478&gt;Penalty!$B$19,Penalty!$I$5,0)+G477)/D478,0)</f>
        <v>46.6815525507708</v>
      </c>
    </row>
    <row r="479" customFormat="false" ht="15" hidden="false" customHeight="false" outlineLevel="0" collapsed="false">
      <c r="A479" s="23" t="n">
        <f aca="false">Penalty!$B$5+475</f>
        <v>46602</v>
      </c>
      <c r="B479" s="24" t="n">
        <f aca="false">IF(YEAR(A479)&gt;2026,Penalty!$B$16/100,IFERROR(INDEX(Rates!$B$4:$E$15,MATCH(YEAR(A479),Rates!$A$4:$A$15,0),ROUNDUP(MONTH(A479)/3,0))/100,0.03))</f>
        <v>0.07</v>
      </c>
      <c r="C479" s="25" t="n">
        <f aca="false">MAX(0,Penalty!$B$4-SUMIFS(Penalty!$C$10:$C$12,Penalty!$B$10:$B$12,"&lt;"&amp;A479))</f>
        <v>12000</v>
      </c>
      <c r="D479" s="25" t="n">
        <f aca="false">IF(A479&lt;=Penalty!$B$8,C479+F478+IF(A479&gt;Penalty!$B$19,Penalty!$I$5,0)+G478,0)</f>
        <v>0</v>
      </c>
      <c r="E479" s="26" t="n">
        <f aca="false">D479*B479/365</f>
        <v>0</v>
      </c>
      <c r="F479" s="25" t="n">
        <f aca="false">F478+E479*(1-IF(D479&gt;0,(IF(A479&gt;Penalty!$B$19,Penalty!$I$5,0)+G478)/D479,0))</f>
        <v>345.789278153858</v>
      </c>
      <c r="G479" s="25" t="n">
        <f aca="false">G478+E479*IF(D479&gt;0,(IF(A479&gt;Penalty!$B$19,Penalty!$I$5,0)+G478)/D479,0)</f>
        <v>46.6815525507708</v>
      </c>
    </row>
    <row r="480" customFormat="false" ht="15" hidden="false" customHeight="false" outlineLevel="0" collapsed="false">
      <c r="A480" s="23" t="n">
        <f aca="false">Penalty!$B$5+476</f>
        <v>46603</v>
      </c>
      <c r="B480" s="24" t="n">
        <f aca="false">IF(YEAR(A480)&gt;2026,Penalty!$B$16/100,IFERROR(INDEX(Rates!$B$4:$E$15,MATCH(YEAR(A480),Rates!$A$4:$A$15,0),ROUNDUP(MONTH(A480)/3,0))/100,0.03))</f>
        <v>0.07</v>
      </c>
      <c r="C480" s="25" t="n">
        <f aca="false">MAX(0,Penalty!$B$4-SUMIFS(Penalty!$C$10:$C$12,Penalty!$B$10:$B$12,"&lt;"&amp;A480))</f>
        <v>12000</v>
      </c>
      <c r="D480" s="25" t="n">
        <f aca="false">IF(A480&lt;=Penalty!$B$8,C480+F479+IF(A480&gt;Penalty!$B$19,Penalty!$I$5,0)+G479,0)</f>
        <v>0</v>
      </c>
      <c r="E480" s="26" t="n">
        <f aca="false">D480*B480/365</f>
        <v>0</v>
      </c>
      <c r="F480" s="25" t="n">
        <f aca="false">F479+E480*(1-IF(D480&gt;0,(IF(A480&gt;Penalty!$B$19,Penalty!$I$5,0)+G479)/D480,0))</f>
        <v>345.789278153858</v>
      </c>
      <c r="G480" s="25" t="n">
        <f aca="false">G479+E480*IF(D480&gt;0,(IF(A480&gt;Penalty!$B$19,Penalty!$I$5,0)+G479)/D480,0)</f>
        <v>46.6815525507708</v>
      </c>
    </row>
    <row r="481" customFormat="false" ht="15" hidden="false" customHeight="false" outlineLevel="0" collapsed="false">
      <c r="A481" s="23" t="n">
        <f aca="false">Penalty!$B$5+477</f>
        <v>46604</v>
      </c>
      <c r="B481" s="24" t="n">
        <f aca="false">IF(YEAR(A481)&gt;2026,Penalty!$B$16/100,IFERROR(INDEX(Rates!$B$4:$E$15,MATCH(YEAR(A481),Rates!$A$4:$A$15,0),ROUNDUP(MONTH(A481)/3,0))/100,0.03))</f>
        <v>0.07</v>
      </c>
      <c r="C481" s="25" t="n">
        <f aca="false">MAX(0,Penalty!$B$4-SUMIFS(Penalty!$C$10:$C$12,Penalty!$B$10:$B$12,"&lt;"&amp;A481))</f>
        <v>12000</v>
      </c>
      <c r="D481" s="25" t="n">
        <f aca="false">IF(A481&lt;=Penalty!$B$8,C481+F480+IF(A481&gt;Penalty!$B$19,Penalty!$I$5,0)+G480,0)</f>
        <v>0</v>
      </c>
      <c r="E481" s="26" t="n">
        <f aca="false">D481*B481/365</f>
        <v>0</v>
      </c>
      <c r="F481" s="25" t="n">
        <f aca="false">F480+E481*(1-IF(D481&gt;0,(IF(A481&gt;Penalty!$B$19,Penalty!$I$5,0)+G480)/D481,0))</f>
        <v>345.789278153858</v>
      </c>
      <c r="G481" s="25" t="n">
        <f aca="false">G480+E481*IF(D481&gt;0,(IF(A481&gt;Penalty!$B$19,Penalty!$I$5,0)+G480)/D481,0)</f>
        <v>46.6815525507708</v>
      </c>
    </row>
    <row r="482" customFormat="false" ht="15" hidden="false" customHeight="false" outlineLevel="0" collapsed="false">
      <c r="A482" s="23" t="n">
        <f aca="false">Penalty!$B$5+478</f>
        <v>46605</v>
      </c>
      <c r="B482" s="24" t="n">
        <f aca="false">IF(YEAR(A482)&gt;2026,Penalty!$B$16/100,IFERROR(INDEX(Rates!$B$4:$E$15,MATCH(YEAR(A482),Rates!$A$4:$A$15,0),ROUNDUP(MONTH(A482)/3,0))/100,0.03))</f>
        <v>0.07</v>
      </c>
      <c r="C482" s="25" t="n">
        <f aca="false">MAX(0,Penalty!$B$4-SUMIFS(Penalty!$C$10:$C$12,Penalty!$B$10:$B$12,"&lt;"&amp;A482))</f>
        <v>12000</v>
      </c>
      <c r="D482" s="25" t="n">
        <f aca="false">IF(A482&lt;=Penalty!$B$8,C482+F481+IF(A482&gt;Penalty!$B$19,Penalty!$I$5,0)+G481,0)</f>
        <v>0</v>
      </c>
      <c r="E482" s="26" t="n">
        <f aca="false">D482*B482/365</f>
        <v>0</v>
      </c>
      <c r="F482" s="25" t="n">
        <f aca="false">F481+E482*(1-IF(D482&gt;0,(IF(A482&gt;Penalty!$B$19,Penalty!$I$5,0)+G481)/D482,0))</f>
        <v>345.789278153858</v>
      </c>
      <c r="G482" s="25" t="n">
        <f aca="false">G481+E482*IF(D482&gt;0,(IF(A482&gt;Penalty!$B$19,Penalty!$I$5,0)+G481)/D482,0)</f>
        <v>46.6815525507708</v>
      </c>
    </row>
    <row r="483" customFormat="false" ht="15" hidden="false" customHeight="false" outlineLevel="0" collapsed="false">
      <c r="A483" s="23" t="n">
        <f aca="false">Penalty!$B$5+479</f>
        <v>46606</v>
      </c>
      <c r="B483" s="24" t="n">
        <f aca="false">IF(YEAR(A483)&gt;2026,Penalty!$B$16/100,IFERROR(INDEX(Rates!$B$4:$E$15,MATCH(YEAR(A483),Rates!$A$4:$A$15,0),ROUNDUP(MONTH(A483)/3,0))/100,0.03))</f>
        <v>0.07</v>
      </c>
      <c r="C483" s="25" t="n">
        <f aca="false">MAX(0,Penalty!$B$4-SUMIFS(Penalty!$C$10:$C$12,Penalty!$B$10:$B$12,"&lt;"&amp;A483))</f>
        <v>12000</v>
      </c>
      <c r="D483" s="25" t="n">
        <f aca="false">IF(A483&lt;=Penalty!$B$8,C483+F482+IF(A483&gt;Penalty!$B$19,Penalty!$I$5,0)+G482,0)</f>
        <v>0</v>
      </c>
      <c r="E483" s="26" t="n">
        <f aca="false">D483*B483/365</f>
        <v>0</v>
      </c>
      <c r="F483" s="25" t="n">
        <f aca="false">F482+E483*(1-IF(D483&gt;0,(IF(A483&gt;Penalty!$B$19,Penalty!$I$5,0)+G482)/D483,0))</f>
        <v>345.789278153858</v>
      </c>
      <c r="G483" s="25" t="n">
        <f aca="false">G482+E483*IF(D483&gt;0,(IF(A483&gt;Penalty!$B$19,Penalty!$I$5,0)+G482)/D483,0)</f>
        <v>46.6815525507708</v>
      </c>
    </row>
    <row r="484" customFormat="false" ht="15" hidden="false" customHeight="false" outlineLevel="0" collapsed="false">
      <c r="A484" s="23" t="n">
        <f aca="false">Penalty!$B$5+480</f>
        <v>46607</v>
      </c>
      <c r="B484" s="24" t="n">
        <f aca="false">IF(YEAR(A484)&gt;2026,Penalty!$B$16/100,IFERROR(INDEX(Rates!$B$4:$E$15,MATCH(YEAR(A484),Rates!$A$4:$A$15,0),ROUNDUP(MONTH(A484)/3,0))/100,0.03))</f>
        <v>0.07</v>
      </c>
      <c r="C484" s="25" t="n">
        <f aca="false">MAX(0,Penalty!$B$4-SUMIFS(Penalty!$C$10:$C$12,Penalty!$B$10:$B$12,"&lt;"&amp;A484))</f>
        <v>12000</v>
      </c>
      <c r="D484" s="25" t="n">
        <f aca="false">IF(A484&lt;=Penalty!$B$8,C484+F483+IF(A484&gt;Penalty!$B$19,Penalty!$I$5,0)+G483,0)</f>
        <v>0</v>
      </c>
      <c r="E484" s="26" t="n">
        <f aca="false">D484*B484/365</f>
        <v>0</v>
      </c>
      <c r="F484" s="25" t="n">
        <f aca="false">F483+E484*(1-IF(D484&gt;0,(IF(A484&gt;Penalty!$B$19,Penalty!$I$5,0)+G483)/D484,0))</f>
        <v>345.789278153858</v>
      </c>
      <c r="G484" s="25" t="n">
        <f aca="false">G483+E484*IF(D484&gt;0,(IF(A484&gt;Penalty!$B$19,Penalty!$I$5,0)+G483)/D484,0)</f>
        <v>46.6815525507708</v>
      </c>
    </row>
    <row r="485" customFormat="false" ht="15" hidden="false" customHeight="false" outlineLevel="0" collapsed="false">
      <c r="A485" s="23" t="n">
        <f aca="false">Penalty!$B$5+481</f>
        <v>46608</v>
      </c>
      <c r="B485" s="24" t="n">
        <f aca="false">IF(YEAR(A485)&gt;2026,Penalty!$B$16/100,IFERROR(INDEX(Rates!$B$4:$E$15,MATCH(YEAR(A485),Rates!$A$4:$A$15,0),ROUNDUP(MONTH(A485)/3,0))/100,0.03))</f>
        <v>0.07</v>
      </c>
      <c r="C485" s="25" t="n">
        <f aca="false">MAX(0,Penalty!$B$4-SUMIFS(Penalty!$C$10:$C$12,Penalty!$B$10:$B$12,"&lt;"&amp;A485))</f>
        <v>12000</v>
      </c>
      <c r="D485" s="25" t="n">
        <f aca="false">IF(A485&lt;=Penalty!$B$8,C485+F484+IF(A485&gt;Penalty!$B$19,Penalty!$I$5,0)+G484,0)</f>
        <v>0</v>
      </c>
      <c r="E485" s="26" t="n">
        <f aca="false">D485*B485/365</f>
        <v>0</v>
      </c>
      <c r="F485" s="25" t="n">
        <f aca="false">F484+E485*(1-IF(D485&gt;0,(IF(A485&gt;Penalty!$B$19,Penalty!$I$5,0)+G484)/D485,0))</f>
        <v>345.789278153858</v>
      </c>
      <c r="G485" s="25" t="n">
        <f aca="false">G484+E485*IF(D485&gt;0,(IF(A485&gt;Penalty!$B$19,Penalty!$I$5,0)+G484)/D485,0)</f>
        <v>46.6815525507708</v>
      </c>
    </row>
    <row r="486" customFormat="false" ht="15" hidden="false" customHeight="false" outlineLevel="0" collapsed="false">
      <c r="A486" s="23" t="n">
        <f aca="false">Penalty!$B$5+482</f>
        <v>46609</v>
      </c>
      <c r="B486" s="24" t="n">
        <f aca="false">IF(YEAR(A486)&gt;2026,Penalty!$B$16/100,IFERROR(INDEX(Rates!$B$4:$E$15,MATCH(YEAR(A486),Rates!$A$4:$A$15,0),ROUNDUP(MONTH(A486)/3,0))/100,0.03))</f>
        <v>0.07</v>
      </c>
      <c r="C486" s="25" t="n">
        <f aca="false">MAX(0,Penalty!$B$4-SUMIFS(Penalty!$C$10:$C$12,Penalty!$B$10:$B$12,"&lt;"&amp;A486))</f>
        <v>12000</v>
      </c>
      <c r="D486" s="25" t="n">
        <f aca="false">IF(A486&lt;=Penalty!$B$8,C486+F485+IF(A486&gt;Penalty!$B$19,Penalty!$I$5,0)+G485,0)</f>
        <v>0</v>
      </c>
      <c r="E486" s="26" t="n">
        <f aca="false">D486*B486/365</f>
        <v>0</v>
      </c>
      <c r="F486" s="25" t="n">
        <f aca="false">F485+E486*(1-IF(D486&gt;0,(IF(A486&gt;Penalty!$B$19,Penalty!$I$5,0)+G485)/D486,0))</f>
        <v>345.789278153858</v>
      </c>
      <c r="G486" s="25" t="n">
        <f aca="false">G485+E486*IF(D486&gt;0,(IF(A486&gt;Penalty!$B$19,Penalty!$I$5,0)+G485)/D486,0)</f>
        <v>46.6815525507708</v>
      </c>
    </row>
    <row r="487" customFormat="false" ht="15" hidden="false" customHeight="false" outlineLevel="0" collapsed="false">
      <c r="A487" s="23" t="n">
        <f aca="false">Penalty!$B$5+483</f>
        <v>46610</v>
      </c>
      <c r="B487" s="24" t="n">
        <f aca="false">IF(YEAR(A487)&gt;2026,Penalty!$B$16/100,IFERROR(INDEX(Rates!$B$4:$E$15,MATCH(YEAR(A487),Rates!$A$4:$A$15,0),ROUNDUP(MONTH(A487)/3,0))/100,0.03))</f>
        <v>0.07</v>
      </c>
      <c r="C487" s="25" t="n">
        <f aca="false">MAX(0,Penalty!$B$4-SUMIFS(Penalty!$C$10:$C$12,Penalty!$B$10:$B$12,"&lt;"&amp;A487))</f>
        <v>12000</v>
      </c>
      <c r="D487" s="25" t="n">
        <f aca="false">IF(A487&lt;=Penalty!$B$8,C487+F486+IF(A487&gt;Penalty!$B$19,Penalty!$I$5,0)+G486,0)</f>
        <v>0</v>
      </c>
      <c r="E487" s="26" t="n">
        <f aca="false">D487*B487/365</f>
        <v>0</v>
      </c>
      <c r="F487" s="25" t="n">
        <f aca="false">F486+E487*(1-IF(D487&gt;0,(IF(A487&gt;Penalty!$B$19,Penalty!$I$5,0)+G486)/D487,0))</f>
        <v>345.789278153858</v>
      </c>
      <c r="G487" s="25" t="n">
        <f aca="false">G486+E487*IF(D487&gt;0,(IF(A487&gt;Penalty!$B$19,Penalty!$I$5,0)+G486)/D487,0)</f>
        <v>46.6815525507708</v>
      </c>
    </row>
    <row r="488" customFormat="false" ht="15" hidden="false" customHeight="false" outlineLevel="0" collapsed="false">
      <c r="A488" s="23" t="n">
        <f aca="false">Penalty!$B$5+484</f>
        <v>46611</v>
      </c>
      <c r="B488" s="24" t="n">
        <f aca="false">IF(YEAR(A488)&gt;2026,Penalty!$B$16/100,IFERROR(INDEX(Rates!$B$4:$E$15,MATCH(YEAR(A488),Rates!$A$4:$A$15,0),ROUNDUP(MONTH(A488)/3,0))/100,0.03))</f>
        <v>0.07</v>
      </c>
      <c r="C488" s="25" t="n">
        <f aca="false">MAX(0,Penalty!$B$4-SUMIFS(Penalty!$C$10:$C$12,Penalty!$B$10:$B$12,"&lt;"&amp;A488))</f>
        <v>12000</v>
      </c>
      <c r="D488" s="25" t="n">
        <f aca="false">IF(A488&lt;=Penalty!$B$8,C488+F487+IF(A488&gt;Penalty!$B$19,Penalty!$I$5,0)+G487,0)</f>
        <v>0</v>
      </c>
      <c r="E488" s="26" t="n">
        <f aca="false">D488*B488/365</f>
        <v>0</v>
      </c>
      <c r="F488" s="25" t="n">
        <f aca="false">F487+E488*(1-IF(D488&gt;0,(IF(A488&gt;Penalty!$B$19,Penalty!$I$5,0)+G487)/D488,0))</f>
        <v>345.789278153858</v>
      </c>
      <c r="G488" s="25" t="n">
        <f aca="false">G487+E488*IF(D488&gt;0,(IF(A488&gt;Penalty!$B$19,Penalty!$I$5,0)+G487)/D488,0)</f>
        <v>46.6815525507708</v>
      </c>
    </row>
    <row r="489" customFormat="false" ht="15" hidden="false" customHeight="false" outlineLevel="0" collapsed="false">
      <c r="A489" s="23" t="n">
        <f aca="false">Penalty!$B$5+485</f>
        <v>46612</v>
      </c>
      <c r="B489" s="24" t="n">
        <f aca="false">IF(YEAR(A489)&gt;2026,Penalty!$B$16/100,IFERROR(INDEX(Rates!$B$4:$E$15,MATCH(YEAR(A489),Rates!$A$4:$A$15,0),ROUNDUP(MONTH(A489)/3,0))/100,0.03))</f>
        <v>0.07</v>
      </c>
      <c r="C489" s="25" t="n">
        <f aca="false">MAX(0,Penalty!$B$4-SUMIFS(Penalty!$C$10:$C$12,Penalty!$B$10:$B$12,"&lt;"&amp;A489))</f>
        <v>12000</v>
      </c>
      <c r="D489" s="25" t="n">
        <f aca="false">IF(A489&lt;=Penalty!$B$8,C489+F488+IF(A489&gt;Penalty!$B$19,Penalty!$I$5,0)+G488,0)</f>
        <v>0</v>
      </c>
      <c r="E489" s="26" t="n">
        <f aca="false">D489*B489/365</f>
        <v>0</v>
      </c>
      <c r="F489" s="25" t="n">
        <f aca="false">F488+E489*(1-IF(D489&gt;0,(IF(A489&gt;Penalty!$B$19,Penalty!$I$5,0)+G488)/D489,0))</f>
        <v>345.789278153858</v>
      </c>
      <c r="G489" s="25" t="n">
        <f aca="false">G488+E489*IF(D489&gt;0,(IF(A489&gt;Penalty!$B$19,Penalty!$I$5,0)+G488)/D489,0)</f>
        <v>46.6815525507708</v>
      </c>
    </row>
    <row r="490" customFormat="false" ht="15" hidden="false" customHeight="false" outlineLevel="0" collapsed="false">
      <c r="A490" s="23" t="n">
        <f aca="false">Penalty!$B$5+486</f>
        <v>46613</v>
      </c>
      <c r="B490" s="24" t="n">
        <f aca="false">IF(YEAR(A490)&gt;2026,Penalty!$B$16/100,IFERROR(INDEX(Rates!$B$4:$E$15,MATCH(YEAR(A490),Rates!$A$4:$A$15,0),ROUNDUP(MONTH(A490)/3,0))/100,0.03))</f>
        <v>0.07</v>
      </c>
      <c r="C490" s="25" t="n">
        <f aca="false">MAX(0,Penalty!$B$4-SUMIFS(Penalty!$C$10:$C$12,Penalty!$B$10:$B$12,"&lt;"&amp;A490))</f>
        <v>12000</v>
      </c>
      <c r="D490" s="25" t="n">
        <f aca="false">IF(A490&lt;=Penalty!$B$8,C490+F489+IF(A490&gt;Penalty!$B$19,Penalty!$I$5,0)+G489,0)</f>
        <v>0</v>
      </c>
      <c r="E490" s="26" t="n">
        <f aca="false">D490*B490/365</f>
        <v>0</v>
      </c>
      <c r="F490" s="25" t="n">
        <f aca="false">F489+E490*(1-IF(D490&gt;0,(IF(A490&gt;Penalty!$B$19,Penalty!$I$5,0)+G489)/D490,0))</f>
        <v>345.789278153858</v>
      </c>
      <c r="G490" s="25" t="n">
        <f aca="false">G489+E490*IF(D490&gt;0,(IF(A490&gt;Penalty!$B$19,Penalty!$I$5,0)+G489)/D490,0)</f>
        <v>46.6815525507708</v>
      </c>
    </row>
    <row r="491" customFormat="false" ht="15" hidden="false" customHeight="false" outlineLevel="0" collapsed="false">
      <c r="A491" s="23" t="n">
        <f aca="false">Penalty!$B$5+487</f>
        <v>46614</v>
      </c>
      <c r="B491" s="24" t="n">
        <f aca="false">IF(YEAR(A491)&gt;2026,Penalty!$B$16/100,IFERROR(INDEX(Rates!$B$4:$E$15,MATCH(YEAR(A491),Rates!$A$4:$A$15,0),ROUNDUP(MONTH(A491)/3,0))/100,0.03))</f>
        <v>0.07</v>
      </c>
      <c r="C491" s="25" t="n">
        <f aca="false">MAX(0,Penalty!$B$4-SUMIFS(Penalty!$C$10:$C$12,Penalty!$B$10:$B$12,"&lt;"&amp;A491))</f>
        <v>12000</v>
      </c>
      <c r="D491" s="25" t="n">
        <f aca="false">IF(A491&lt;=Penalty!$B$8,C491+F490+IF(A491&gt;Penalty!$B$19,Penalty!$I$5,0)+G490,0)</f>
        <v>0</v>
      </c>
      <c r="E491" s="26" t="n">
        <f aca="false">D491*B491/365</f>
        <v>0</v>
      </c>
      <c r="F491" s="25" t="n">
        <f aca="false">F490+E491*(1-IF(D491&gt;0,(IF(A491&gt;Penalty!$B$19,Penalty!$I$5,0)+G490)/D491,0))</f>
        <v>345.789278153858</v>
      </c>
      <c r="G491" s="25" t="n">
        <f aca="false">G490+E491*IF(D491&gt;0,(IF(A491&gt;Penalty!$B$19,Penalty!$I$5,0)+G490)/D491,0)</f>
        <v>46.6815525507708</v>
      </c>
    </row>
    <row r="492" customFormat="false" ht="15" hidden="false" customHeight="false" outlineLevel="0" collapsed="false">
      <c r="A492" s="23" t="n">
        <f aca="false">Penalty!$B$5+488</f>
        <v>46615</v>
      </c>
      <c r="B492" s="24" t="n">
        <f aca="false">IF(YEAR(A492)&gt;2026,Penalty!$B$16/100,IFERROR(INDEX(Rates!$B$4:$E$15,MATCH(YEAR(A492),Rates!$A$4:$A$15,0),ROUNDUP(MONTH(A492)/3,0))/100,0.03))</f>
        <v>0.07</v>
      </c>
      <c r="C492" s="25" t="n">
        <f aca="false">MAX(0,Penalty!$B$4-SUMIFS(Penalty!$C$10:$C$12,Penalty!$B$10:$B$12,"&lt;"&amp;A492))</f>
        <v>12000</v>
      </c>
      <c r="D492" s="25" t="n">
        <f aca="false">IF(A492&lt;=Penalty!$B$8,C492+F491+IF(A492&gt;Penalty!$B$19,Penalty!$I$5,0)+G491,0)</f>
        <v>0</v>
      </c>
      <c r="E492" s="26" t="n">
        <f aca="false">D492*B492/365</f>
        <v>0</v>
      </c>
      <c r="F492" s="25" t="n">
        <f aca="false">F491+E492*(1-IF(D492&gt;0,(IF(A492&gt;Penalty!$B$19,Penalty!$I$5,0)+G491)/D492,0))</f>
        <v>345.789278153858</v>
      </c>
      <c r="G492" s="25" t="n">
        <f aca="false">G491+E492*IF(D492&gt;0,(IF(A492&gt;Penalty!$B$19,Penalty!$I$5,0)+G491)/D492,0)</f>
        <v>46.6815525507708</v>
      </c>
    </row>
    <row r="493" customFormat="false" ht="15" hidden="false" customHeight="false" outlineLevel="0" collapsed="false">
      <c r="A493" s="23" t="n">
        <f aca="false">Penalty!$B$5+489</f>
        <v>46616</v>
      </c>
      <c r="B493" s="24" t="n">
        <f aca="false">IF(YEAR(A493)&gt;2026,Penalty!$B$16/100,IFERROR(INDEX(Rates!$B$4:$E$15,MATCH(YEAR(A493),Rates!$A$4:$A$15,0),ROUNDUP(MONTH(A493)/3,0))/100,0.03))</f>
        <v>0.07</v>
      </c>
      <c r="C493" s="25" t="n">
        <f aca="false">MAX(0,Penalty!$B$4-SUMIFS(Penalty!$C$10:$C$12,Penalty!$B$10:$B$12,"&lt;"&amp;A493))</f>
        <v>12000</v>
      </c>
      <c r="D493" s="25" t="n">
        <f aca="false">IF(A493&lt;=Penalty!$B$8,C493+F492+IF(A493&gt;Penalty!$B$19,Penalty!$I$5,0)+G492,0)</f>
        <v>0</v>
      </c>
      <c r="E493" s="26" t="n">
        <f aca="false">D493*B493/365</f>
        <v>0</v>
      </c>
      <c r="F493" s="25" t="n">
        <f aca="false">F492+E493*(1-IF(D493&gt;0,(IF(A493&gt;Penalty!$B$19,Penalty!$I$5,0)+G492)/D493,0))</f>
        <v>345.789278153858</v>
      </c>
      <c r="G493" s="25" t="n">
        <f aca="false">G492+E493*IF(D493&gt;0,(IF(A493&gt;Penalty!$B$19,Penalty!$I$5,0)+G492)/D493,0)</f>
        <v>46.6815525507708</v>
      </c>
    </row>
    <row r="494" customFormat="false" ht="15" hidden="false" customHeight="false" outlineLevel="0" collapsed="false">
      <c r="A494" s="23" t="n">
        <f aca="false">Penalty!$B$5+490</f>
        <v>46617</v>
      </c>
      <c r="B494" s="24" t="n">
        <f aca="false">IF(YEAR(A494)&gt;2026,Penalty!$B$16/100,IFERROR(INDEX(Rates!$B$4:$E$15,MATCH(YEAR(A494),Rates!$A$4:$A$15,0),ROUNDUP(MONTH(A494)/3,0))/100,0.03))</f>
        <v>0.07</v>
      </c>
      <c r="C494" s="25" t="n">
        <f aca="false">MAX(0,Penalty!$B$4-SUMIFS(Penalty!$C$10:$C$12,Penalty!$B$10:$B$12,"&lt;"&amp;A494))</f>
        <v>12000</v>
      </c>
      <c r="D494" s="25" t="n">
        <f aca="false">IF(A494&lt;=Penalty!$B$8,C494+F493+IF(A494&gt;Penalty!$B$19,Penalty!$I$5,0)+G493,0)</f>
        <v>0</v>
      </c>
      <c r="E494" s="26" t="n">
        <f aca="false">D494*B494/365</f>
        <v>0</v>
      </c>
      <c r="F494" s="25" t="n">
        <f aca="false">F493+E494*(1-IF(D494&gt;0,(IF(A494&gt;Penalty!$B$19,Penalty!$I$5,0)+G493)/D494,0))</f>
        <v>345.789278153858</v>
      </c>
      <c r="G494" s="25" t="n">
        <f aca="false">G493+E494*IF(D494&gt;0,(IF(A494&gt;Penalty!$B$19,Penalty!$I$5,0)+G493)/D494,0)</f>
        <v>46.6815525507708</v>
      </c>
    </row>
    <row r="495" customFormat="false" ht="15" hidden="false" customHeight="false" outlineLevel="0" collapsed="false">
      <c r="A495" s="23" t="n">
        <f aca="false">Penalty!$B$5+491</f>
        <v>46618</v>
      </c>
      <c r="B495" s="24" t="n">
        <f aca="false">IF(YEAR(A495)&gt;2026,Penalty!$B$16/100,IFERROR(INDEX(Rates!$B$4:$E$15,MATCH(YEAR(A495),Rates!$A$4:$A$15,0),ROUNDUP(MONTH(A495)/3,0))/100,0.03))</f>
        <v>0.07</v>
      </c>
      <c r="C495" s="25" t="n">
        <f aca="false">MAX(0,Penalty!$B$4-SUMIFS(Penalty!$C$10:$C$12,Penalty!$B$10:$B$12,"&lt;"&amp;A495))</f>
        <v>12000</v>
      </c>
      <c r="D495" s="25" t="n">
        <f aca="false">IF(A495&lt;=Penalty!$B$8,C495+F494+IF(A495&gt;Penalty!$B$19,Penalty!$I$5,0)+G494,0)</f>
        <v>0</v>
      </c>
      <c r="E495" s="26" t="n">
        <f aca="false">D495*B495/365</f>
        <v>0</v>
      </c>
      <c r="F495" s="25" t="n">
        <f aca="false">F494+E495*(1-IF(D495&gt;0,(IF(A495&gt;Penalty!$B$19,Penalty!$I$5,0)+G494)/D495,0))</f>
        <v>345.789278153858</v>
      </c>
      <c r="G495" s="25" t="n">
        <f aca="false">G494+E495*IF(D495&gt;0,(IF(A495&gt;Penalty!$B$19,Penalty!$I$5,0)+G494)/D495,0)</f>
        <v>46.6815525507708</v>
      </c>
    </row>
    <row r="496" customFormat="false" ht="15" hidden="false" customHeight="false" outlineLevel="0" collapsed="false">
      <c r="A496" s="23" t="n">
        <f aca="false">Penalty!$B$5+492</f>
        <v>46619</v>
      </c>
      <c r="B496" s="24" t="n">
        <f aca="false">IF(YEAR(A496)&gt;2026,Penalty!$B$16/100,IFERROR(INDEX(Rates!$B$4:$E$15,MATCH(YEAR(A496),Rates!$A$4:$A$15,0),ROUNDUP(MONTH(A496)/3,0))/100,0.03))</f>
        <v>0.07</v>
      </c>
      <c r="C496" s="25" t="n">
        <f aca="false">MAX(0,Penalty!$B$4-SUMIFS(Penalty!$C$10:$C$12,Penalty!$B$10:$B$12,"&lt;"&amp;A496))</f>
        <v>12000</v>
      </c>
      <c r="D496" s="25" t="n">
        <f aca="false">IF(A496&lt;=Penalty!$B$8,C496+F495+IF(A496&gt;Penalty!$B$19,Penalty!$I$5,0)+G495,0)</f>
        <v>0</v>
      </c>
      <c r="E496" s="26" t="n">
        <f aca="false">D496*B496/365</f>
        <v>0</v>
      </c>
      <c r="F496" s="25" t="n">
        <f aca="false">F495+E496*(1-IF(D496&gt;0,(IF(A496&gt;Penalty!$B$19,Penalty!$I$5,0)+G495)/D496,0))</f>
        <v>345.789278153858</v>
      </c>
      <c r="G496" s="25" t="n">
        <f aca="false">G495+E496*IF(D496&gt;0,(IF(A496&gt;Penalty!$B$19,Penalty!$I$5,0)+G495)/D496,0)</f>
        <v>46.6815525507708</v>
      </c>
    </row>
    <row r="497" customFormat="false" ht="15" hidden="false" customHeight="false" outlineLevel="0" collapsed="false">
      <c r="A497" s="23" t="n">
        <f aca="false">Penalty!$B$5+493</f>
        <v>46620</v>
      </c>
      <c r="B497" s="24" t="n">
        <f aca="false">IF(YEAR(A497)&gt;2026,Penalty!$B$16/100,IFERROR(INDEX(Rates!$B$4:$E$15,MATCH(YEAR(A497),Rates!$A$4:$A$15,0),ROUNDUP(MONTH(A497)/3,0))/100,0.03))</f>
        <v>0.07</v>
      </c>
      <c r="C497" s="25" t="n">
        <f aca="false">MAX(0,Penalty!$B$4-SUMIFS(Penalty!$C$10:$C$12,Penalty!$B$10:$B$12,"&lt;"&amp;A497))</f>
        <v>12000</v>
      </c>
      <c r="D497" s="25" t="n">
        <f aca="false">IF(A497&lt;=Penalty!$B$8,C497+F496+IF(A497&gt;Penalty!$B$19,Penalty!$I$5,0)+G496,0)</f>
        <v>0</v>
      </c>
      <c r="E497" s="26" t="n">
        <f aca="false">D497*B497/365</f>
        <v>0</v>
      </c>
      <c r="F497" s="25" t="n">
        <f aca="false">F496+E497*(1-IF(D497&gt;0,(IF(A497&gt;Penalty!$B$19,Penalty!$I$5,0)+G496)/D497,0))</f>
        <v>345.789278153858</v>
      </c>
      <c r="G497" s="25" t="n">
        <f aca="false">G496+E497*IF(D497&gt;0,(IF(A497&gt;Penalty!$B$19,Penalty!$I$5,0)+G496)/D497,0)</f>
        <v>46.6815525507708</v>
      </c>
    </row>
    <row r="498" customFormat="false" ht="15" hidden="false" customHeight="false" outlineLevel="0" collapsed="false">
      <c r="A498" s="23" t="n">
        <f aca="false">Penalty!$B$5+494</f>
        <v>46621</v>
      </c>
      <c r="B498" s="24" t="n">
        <f aca="false">IF(YEAR(A498)&gt;2026,Penalty!$B$16/100,IFERROR(INDEX(Rates!$B$4:$E$15,MATCH(YEAR(A498),Rates!$A$4:$A$15,0),ROUNDUP(MONTH(A498)/3,0))/100,0.03))</f>
        <v>0.07</v>
      </c>
      <c r="C498" s="25" t="n">
        <f aca="false">MAX(0,Penalty!$B$4-SUMIFS(Penalty!$C$10:$C$12,Penalty!$B$10:$B$12,"&lt;"&amp;A498))</f>
        <v>12000</v>
      </c>
      <c r="D498" s="25" t="n">
        <f aca="false">IF(A498&lt;=Penalty!$B$8,C498+F497+IF(A498&gt;Penalty!$B$19,Penalty!$I$5,0)+G497,0)</f>
        <v>0</v>
      </c>
      <c r="E498" s="26" t="n">
        <f aca="false">D498*B498/365</f>
        <v>0</v>
      </c>
      <c r="F498" s="25" t="n">
        <f aca="false">F497+E498*(1-IF(D498&gt;0,(IF(A498&gt;Penalty!$B$19,Penalty!$I$5,0)+G497)/D498,0))</f>
        <v>345.789278153858</v>
      </c>
      <c r="G498" s="25" t="n">
        <f aca="false">G497+E498*IF(D498&gt;0,(IF(A498&gt;Penalty!$B$19,Penalty!$I$5,0)+G497)/D498,0)</f>
        <v>46.6815525507708</v>
      </c>
    </row>
    <row r="499" customFormat="false" ht="15" hidden="false" customHeight="false" outlineLevel="0" collapsed="false">
      <c r="A499" s="23" t="n">
        <f aca="false">Penalty!$B$5+495</f>
        <v>46622</v>
      </c>
      <c r="B499" s="24" t="n">
        <f aca="false">IF(YEAR(A499)&gt;2026,Penalty!$B$16/100,IFERROR(INDEX(Rates!$B$4:$E$15,MATCH(YEAR(A499),Rates!$A$4:$A$15,0),ROUNDUP(MONTH(A499)/3,0))/100,0.03))</f>
        <v>0.07</v>
      </c>
      <c r="C499" s="25" t="n">
        <f aca="false">MAX(0,Penalty!$B$4-SUMIFS(Penalty!$C$10:$C$12,Penalty!$B$10:$B$12,"&lt;"&amp;A499))</f>
        <v>12000</v>
      </c>
      <c r="D499" s="25" t="n">
        <f aca="false">IF(A499&lt;=Penalty!$B$8,C499+F498+IF(A499&gt;Penalty!$B$19,Penalty!$I$5,0)+G498,0)</f>
        <v>0</v>
      </c>
      <c r="E499" s="26" t="n">
        <f aca="false">D499*B499/365</f>
        <v>0</v>
      </c>
      <c r="F499" s="25" t="n">
        <f aca="false">F498+E499*(1-IF(D499&gt;0,(IF(A499&gt;Penalty!$B$19,Penalty!$I$5,0)+G498)/D499,0))</f>
        <v>345.789278153858</v>
      </c>
      <c r="G499" s="25" t="n">
        <f aca="false">G498+E499*IF(D499&gt;0,(IF(A499&gt;Penalty!$B$19,Penalty!$I$5,0)+G498)/D499,0)</f>
        <v>46.6815525507708</v>
      </c>
    </row>
    <row r="500" customFormat="false" ht="15" hidden="false" customHeight="false" outlineLevel="0" collapsed="false">
      <c r="A500" s="23" t="n">
        <f aca="false">Penalty!$B$5+496</f>
        <v>46623</v>
      </c>
      <c r="B500" s="24" t="n">
        <f aca="false">IF(YEAR(A500)&gt;2026,Penalty!$B$16/100,IFERROR(INDEX(Rates!$B$4:$E$15,MATCH(YEAR(A500),Rates!$A$4:$A$15,0),ROUNDUP(MONTH(A500)/3,0))/100,0.03))</f>
        <v>0.07</v>
      </c>
      <c r="C500" s="25" t="n">
        <f aca="false">MAX(0,Penalty!$B$4-SUMIFS(Penalty!$C$10:$C$12,Penalty!$B$10:$B$12,"&lt;"&amp;A500))</f>
        <v>12000</v>
      </c>
      <c r="D500" s="25" t="n">
        <f aca="false">IF(A500&lt;=Penalty!$B$8,C500+F499+IF(A500&gt;Penalty!$B$19,Penalty!$I$5,0)+G499,0)</f>
        <v>0</v>
      </c>
      <c r="E500" s="26" t="n">
        <f aca="false">D500*B500/365</f>
        <v>0</v>
      </c>
      <c r="F500" s="25" t="n">
        <f aca="false">F499+E500*(1-IF(D500&gt;0,(IF(A500&gt;Penalty!$B$19,Penalty!$I$5,0)+G499)/D500,0))</f>
        <v>345.789278153858</v>
      </c>
      <c r="G500" s="25" t="n">
        <f aca="false">G499+E500*IF(D500&gt;0,(IF(A500&gt;Penalty!$B$19,Penalty!$I$5,0)+G499)/D500,0)</f>
        <v>46.6815525507708</v>
      </c>
    </row>
    <row r="501" customFormat="false" ht="15" hidden="false" customHeight="false" outlineLevel="0" collapsed="false">
      <c r="A501" s="23" t="n">
        <f aca="false">Penalty!$B$5+497</f>
        <v>46624</v>
      </c>
      <c r="B501" s="24" t="n">
        <f aca="false">IF(YEAR(A501)&gt;2026,Penalty!$B$16/100,IFERROR(INDEX(Rates!$B$4:$E$15,MATCH(YEAR(A501),Rates!$A$4:$A$15,0),ROUNDUP(MONTH(A501)/3,0))/100,0.03))</f>
        <v>0.07</v>
      </c>
      <c r="C501" s="25" t="n">
        <f aca="false">MAX(0,Penalty!$B$4-SUMIFS(Penalty!$C$10:$C$12,Penalty!$B$10:$B$12,"&lt;"&amp;A501))</f>
        <v>12000</v>
      </c>
      <c r="D501" s="25" t="n">
        <f aca="false">IF(A501&lt;=Penalty!$B$8,C501+F500+IF(A501&gt;Penalty!$B$19,Penalty!$I$5,0)+G500,0)</f>
        <v>0</v>
      </c>
      <c r="E501" s="26" t="n">
        <f aca="false">D501*B501/365</f>
        <v>0</v>
      </c>
      <c r="F501" s="25" t="n">
        <f aca="false">F500+E501*(1-IF(D501&gt;0,(IF(A501&gt;Penalty!$B$19,Penalty!$I$5,0)+G500)/D501,0))</f>
        <v>345.789278153858</v>
      </c>
      <c r="G501" s="25" t="n">
        <f aca="false">G500+E501*IF(D501&gt;0,(IF(A501&gt;Penalty!$B$19,Penalty!$I$5,0)+G500)/D501,0)</f>
        <v>46.6815525507708</v>
      </c>
    </row>
    <row r="502" customFormat="false" ht="15" hidden="false" customHeight="false" outlineLevel="0" collapsed="false">
      <c r="A502" s="23" t="n">
        <f aca="false">Penalty!$B$5+498</f>
        <v>46625</v>
      </c>
      <c r="B502" s="24" t="n">
        <f aca="false">IF(YEAR(A502)&gt;2026,Penalty!$B$16/100,IFERROR(INDEX(Rates!$B$4:$E$15,MATCH(YEAR(A502),Rates!$A$4:$A$15,0),ROUNDUP(MONTH(A502)/3,0))/100,0.03))</f>
        <v>0.07</v>
      </c>
      <c r="C502" s="25" t="n">
        <f aca="false">MAX(0,Penalty!$B$4-SUMIFS(Penalty!$C$10:$C$12,Penalty!$B$10:$B$12,"&lt;"&amp;A502))</f>
        <v>12000</v>
      </c>
      <c r="D502" s="25" t="n">
        <f aca="false">IF(A502&lt;=Penalty!$B$8,C502+F501+IF(A502&gt;Penalty!$B$19,Penalty!$I$5,0)+G501,0)</f>
        <v>0</v>
      </c>
      <c r="E502" s="26" t="n">
        <f aca="false">D502*B502/365</f>
        <v>0</v>
      </c>
      <c r="F502" s="25" t="n">
        <f aca="false">F501+E502*(1-IF(D502&gt;0,(IF(A502&gt;Penalty!$B$19,Penalty!$I$5,0)+G501)/D502,0))</f>
        <v>345.789278153858</v>
      </c>
      <c r="G502" s="25" t="n">
        <f aca="false">G501+E502*IF(D502&gt;0,(IF(A502&gt;Penalty!$B$19,Penalty!$I$5,0)+G501)/D502,0)</f>
        <v>46.6815525507708</v>
      </c>
    </row>
    <row r="503" customFormat="false" ht="15" hidden="false" customHeight="false" outlineLevel="0" collapsed="false">
      <c r="A503" s="23" t="n">
        <f aca="false">Penalty!$B$5+499</f>
        <v>46626</v>
      </c>
      <c r="B503" s="24" t="n">
        <f aca="false">IF(YEAR(A503)&gt;2026,Penalty!$B$16/100,IFERROR(INDEX(Rates!$B$4:$E$15,MATCH(YEAR(A503),Rates!$A$4:$A$15,0),ROUNDUP(MONTH(A503)/3,0))/100,0.03))</f>
        <v>0.07</v>
      </c>
      <c r="C503" s="25" t="n">
        <f aca="false">MAX(0,Penalty!$B$4-SUMIFS(Penalty!$C$10:$C$12,Penalty!$B$10:$B$12,"&lt;"&amp;A503))</f>
        <v>12000</v>
      </c>
      <c r="D503" s="25" t="n">
        <f aca="false">IF(A503&lt;=Penalty!$B$8,C503+F502+IF(A503&gt;Penalty!$B$19,Penalty!$I$5,0)+G502,0)</f>
        <v>0</v>
      </c>
      <c r="E503" s="26" t="n">
        <f aca="false">D503*B503/365</f>
        <v>0</v>
      </c>
      <c r="F503" s="25" t="n">
        <f aca="false">F502+E503*(1-IF(D503&gt;0,(IF(A503&gt;Penalty!$B$19,Penalty!$I$5,0)+G502)/D503,0))</f>
        <v>345.789278153858</v>
      </c>
      <c r="G503" s="25" t="n">
        <f aca="false">G502+E503*IF(D503&gt;0,(IF(A503&gt;Penalty!$B$19,Penalty!$I$5,0)+G502)/D503,0)</f>
        <v>46.6815525507708</v>
      </c>
    </row>
    <row r="504" customFormat="false" ht="15" hidden="false" customHeight="false" outlineLevel="0" collapsed="false">
      <c r="A504" s="23" t="n">
        <f aca="false">Penalty!$B$5+500</f>
        <v>46627</v>
      </c>
      <c r="B504" s="24" t="n">
        <f aca="false">IF(YEAR(A504)&gt;2026,Penalty!$B$16/100,IFERROR(INDEX(Rates!$B$4:$E$15,MATCH(YEAR(A504),Rates!$A$4:$A$15,0),ROUNDUP(MONTH(A504)/3,0))/100,0.03))</f>
        <v>0.07</v>
      </c>
      <c r="C504" s="25" t="n">
        <f aca="false">MAX(0,Penalty!$B$4-SUMIFS(Penalty!$C$10:$C$12,Penalty!$B$10:$B$12,"&lt;"&amp;A504))</f>
        <v>12000</v>
      </c>
      <c r="D504" s="25" t="n">
        <f aca="false">IF(A504&lt;=Penalty!$B$8,C504+F503+IF(A504&gt;Penalty!$B$19,Penalty!$I$5,0)+G503,0)</f>
        <v>0</v>
      </c>
      <c r="E504" s="26" t="n">
        <f aca="false">D504*B504/365</f>
        <v>0</v>
      </c>
      <c r="F504" s="25" t="n">
        <f aca="false">F503+E504*(1-IF(D504&gt;0,(IF(A504&gt;Penalty!$B$19,Penalty!$I$5,0)+G503)/D504,0))</f>
        <v>345.789278153858</v>
      </c>
      <c r="G504" s="25" t="n">
        <f aca="false">G503+E504*IF(D504&gt;0,(IF(A504&gt;Penalty!$B$19,Penalty!$I$5,0)+G503)/D504,0)</f>
        <v>46.6815525507708</v>
      </c>
    </row>
    <row r="505" customFormat="false" ht="15" hidden="false" customHeight="false" outlineLevel="0" collapsed="false">
      <c r="A505" s="23" t="n">
        <f aca="false">Penalty!$B$5+501</f>
        <v>46628</v>
      </c>
      <c r="B505" s="24" t="n">
        <f aca="false">IF(YEAR(A505)&gt;2026,Penalty!$B$16/100,IFERROR(INDEX(Rates!$B$4:$E$15,MATCH(YEAR(A505),Rates!$A$4:$A$15,0),ROUNDUP(MONTH(A505)/3,0))/100,0.03))</f>
        <v>0.07</v>
      </c>
      <c r="C505" s="25" t="n">
        <f aca="false">MAX(0,Penalty!$B$4-SUMIFS(Penalty!$C$10:$C$12,Penalty!$B$10:$B$12,"&lt;"&amp;A505))</f>
        <v>12000</v>
      </c>
      <c r="D505" s="25" t="n">
        <f aca="false">IF(A505&lt;=Penalty!$B$8,C505+F504+IF(A505&gt;Penalty!$B$19,Penalty!$I$5,0)+G504,0)</f>
        <v>0</v>
      </c>
      <c r="E505" s="26" t="n">
        <f aca="false">D505*B505/365</f>
        <v>0</v>
      </c>
      <c r="F505" s="25" t="n">
        <f aca="false">F504+E505*(1-IF(D505&gt;0,(IF(A505&gt;Penalty!$B$19,Penalty!$I$5,0)+G504)/D505,0))</f>
        <v>345.789278153858</v>
      </c>
      <c r="G505" s="25" t="n">
        <f aca="false">G504+E505*IF(D505&gt;0,(IF(A505&gt;Penalty!$B$19,Penalty!$I$5,0)+G504)/D505,0)</f>
        <v>46.6815525507708</v>
      </c>
    </row>
    <row r="506" customFormat="false" ht="15" hidden="false" customHeight="false" outlineLevel="0" collapsed="false">
      <c r="A506" s="23" t="n">
        <f aca="false">Penalty!$B$5+502</f>
        <v>46629</v>
      </c>
      <c r="B506" s="24" t="n">
        <f aca="false">IF(YEAR(A506)&gt;2026,Penalty!$B$16/100,IFERROR(INDEX(Rates!$B$4:$E$15,MATCH(YEAR(A506),Rates!$A$4:$A$15,0),ROUNDUP(MONTH(A506)/3,0))/100,0.03))</f>
        <v>0.07</v>
      </c>
      <c r="C506" s="25" t="n">
        <f aca="false">MAX(0,Penalty!$B$4-SUMIFS(Penalty!$C$10:$C$12,Penalty!$B$10:$B$12,"&lt;"&amp;A506))</f>
        <v>12000</v>
      </c>
      <c r="D506" s="25" t="n">
        <f aca="false">IF(A506&lt;=Penalty!$B$8,C506+F505+IF(A506&gt;Penalty!$B$19,Penalty!$I$5,0)+G505,0)</f>
        <v>0</v>
      </c>
      <c r="E506" s="26" t="n">
        <f aca="false">D506*B506/365</f>
        <v>0</v>
      </c>
      <c r="F506" s="25" t="n">
        <f aca="false">F505+E506*(1-IF(D506&gt;0,(IF(A506&gt;Penalty!$B$19,Penalty!$I$5,0)+G505)/D506,0))</f>
        <v>345.789278153858</v>
      </c>
      <c r="G506" s="25" t="n">
        <f aca="false">G505+E506*IF(D506&gt;0,(IF(A506&gt;Penalty!$B$19,Penalty!$I$5,0)+G505)/D506,0)</f>
        <v>46.6815525507708</v>
      </c>
    </row>
    <row r="507" customFormat="false" ht="15" hidden="false" customHeight="false" outlineLevel="0" collapsed="false">
      <c r="A507" s="23" t="n">
        <f aca="false">Penalty!$B$5+503</f>
        <v>46630</v>
      </c>
      <c r="B507" s="24" t="n">
        <f aca="false">IF(YEAR(A507)&gt;2026,Penalty!$B$16/100,IFERROR(INDEX(Rates!$B$4:$E$15,MATCH(YEAR(A507),Rates!$A$4:$A$15,0),ROUNDUP(MONTH(A507)/3,0))/100,0.03))</f>
        <v>0.07</v>
      </c>
      <c r="C507" s="25" t="n">
        <f aca="false">MAX(0,Penalty!$B$4-SUMIFS(Penalty!$C$10:$C$12,Penalty!$B$10:$B$12,"&lt;"&amp;A507))</f>
        <v>12000</v>
      </c>
      <c r="D507" s="25" t="n">
        <f aca="false">IF(A507&lt;=Penalty!$B$8,C507+F506+IF(A507&gt;Penalty!$B$19,Penalty!$I$5,0)+G506,0)</f>
        <v>0</v>
      </c>
      <c r="E507" s="26" t="n">
        <f aca="false">D507*B507/365</f>
        <v>0</v>
      </c>
      <c r="F507" s="25" t="n">
        <f aca="false">F506+E507*(1-IF(D507&gt;0,(IF(A507&gt;Penalty!$B$19,Penalty!$I$5,0)+G506)/D507,0))</f>
        <v>345.789278153858</v>
      </c>
      <c r="G507" s="25" t="n">
        <f aca="false">G506+E507*IF(D507&gt;0,(IF(A507&gt;Penalty!$B$19,Penalty!$I$5,0)+G506)/D507,0)</f>
        <v>46.6815525507708</v>
      </c>
    </row>
    <row r="508" customFormat="false" ht="15" hidden="false" customHeight="false" outlineLevel="0" collapsed="false">
      <c r="A508" s="23" t="n">
        <f aca="false">Penalty!$B$5+504</f>
        <v>46631</v>
      </c>
      <c r="B508" s="24" t="n">
        <f aca="false">IF(YEAR(A508)&gt;2026,Penalty!$B$16/100,IFERROR(INDEX(Rates!$B$4:$E$15,MATCH(YEAR(A508),Rates!$A$4:$A$15,0),ROUNDUP(MONTH(A508)/3,0))/100,0.03))</f>
        <v>0.07</v>
      </c>
      <c r="C508" s="25" t="n">
        <f aca="false">MAX(0,Penalty!$B$4-SUMIFS(Penalty!$C$10:$C$12,Penalty!$B$10:$B$12,"&lt;"&amp;A508))</f>
        <v>12000</v>
      </c>
      <c r="D508" s="25" t="n">
        <f aca="false">IF(A508&lt;=Penalty!$B$8,C508+F507+IF(A508&gt;Penalty!$B$19,Penalty!$I$5,0)+G507,0)</f>
        <v>0</v>
      </c>
      <c r="E508" s="26" t="n">
        <f aca="false">D508*B508/365</f>
        <v>0</v>
      </c>
      <c r="F508" s="25" t="n">
        <f aca="false">F507+E508*(1-IF(D508&gt;0,(IF(A508&gt;Penalty!$B$19,Penalty!$I$5,0)+G507)/D508,0))</f>
        <v>345.789278153858</v>
      </c>
      <c r="G508" s="25" t="n">
        <f aca="false">G507+E508*IF(D508&gt;0,(IF(A508&gt;Penalty!$B$19,Penalty!$I$5,0)+G507)/D508,0)</f>
        <v>46.6815525507708</v>
      </c>
    </row>
    <row r="509" customFormat="false" ht="15" hidden="false" customHeight="false" outlineLevel="0" collapsed="false">
      <c r="A509" s="23" t="n">
        <f aca="false">Penalty!$B$5+505</f>
        <v>46632</v>
      </c>
      <c r="B509" s="24" t="n">
        <f aca="false">IF(YEAR(A509)&gt;2026,Penalty!$B$16/100,IFERROR(INDEX(Rates!$B$4:$E$15,MATCH(YEAR(A509),Rates!$A$4:$A$15,0),ROUNDUP(MONTH(A509)/3,0))/100,0.03))</f>
        <v>0.07</v>
      </c>
      <c r="C509" s="25" t="n">
        <f aca="false">MAX(0,Penalty!$B$4-SUMIFS(Penalty!$C$10:$C$12,Penalty!$B$10:$B$12,"&lt;"&amp;A509))</f>
        <v>12000</v>
      </c>
      <c r="D509" s="25" t="n">
        <f aca="false">IF(A509&lt;=Penalty!$B$8,C509+F508+IF(A509&gt;Penalty!$B$19,Penalty!$I$5,0)+G508,0)</f>
        <v>0</v>
      </c>
      <c r="E509" s="26" t="n">
        <f aca="false">D509*B509/365</f>
        <v>0</v>
      </c>
      <c r="F509" s="25" t="n">
        <f aca="false">F508+E509*(1-IF(D509&gt;0,(IF(A509&gt;Penalty!$B$19,Penalty!$I$5,0)+G508)/D509,0))</f>
        <v>345.789278153858</v>
      </c>
      <c r="G509" s="25" t="n">
        <f aca="false">G508+E509*IF(D509&gt;0,(IF(A509&gt;Penalty!$B$19,Penalty!$I$5,0)+G508)/D509,0)</f>
        <v>46.6815525507708</v>
      </c>
    </row>
    <row r="510" customFormat="false" ht="15" hidden="false" customHeight="false" outlineLevel="0" collapsed="false">
      <c r="A510" s="23" t="n">
        <f aca="false">Penalty!$B$5+506</f>
        <v>46633</v>
      </c>
      <c r="B510" s="24" t="n">
        <f aca="false">IF(YEAR(A510)&gt;2026,Penalty!$B$16/100,IFERROR(INDEX(Rates!$B$4:$E$15,MATCH(YEAR(A510),Rates!$A$4:$A$15,0),ROUNDUP(MONTH(A510)/3,0))/100,0.03))</f>
        <v>0.07</v>
      </c>
      <c r="C510" s="25" t="n">
        <f aca="false">MAX(0,Penalty!$B$4-SUMIFS(Penalty!$C$10:$C$12,Penalty!$B$10:$B$12,"&lt;"&amp;A510))</f>
        <v>12000</v>
      </c>
      <c r="D510" s="25" t="n">
        <f aca="false">IF(A510&lt;=Penalty!$B$8,C510+F509+IF(A510&gt;Penalty!$B$19,Penalty!$I$5,0)+G509,0)</f>
        <v>0</v>
      </c>
      <c r="E510" s="26" t="n">
        <f aca="false">D510*B510/365</f>
        <v>0</v>
      </c>
      <c r="F510" s="25" t="n">
        <f aca="false">F509+E510*(1-IF(D510&gt;0,(IF(A510&gt;Penalty!$B$19,Penalty!$I$5,0)+G509)/D510,0))</f>
        <v>345.789278153858</v>
      </c>
      <c r="G510" s="25" t="n">
        <f aca="false">G509+E510*IF(D510&gt;0,(IF(A510&gt;Penalty!$B$19,Penalty!$I$5,0)+G509)/D510,0)</f>
        <v>46.6815525507708</v>
      </c>
    </row>
    <row r="511" customFormat="false" ht="15" hidden="false" customHeight="false" outlineLevel="0" collapsed="false">
      <c r="A511" s="23" t="n">
        <f aca="false">Penalty!$B$5+507</f>
        <v>46634</v>
      </c>
      <c r="B511" s="24" t="n">
        <f aca="false">IF(YEAR(A511)&gt;2026,Penalty!$B$16/100,IFERROR(INDEX(Rates!$B$4:$E$15,MATCH(YEAR(A511),Rates!$A$4:$A$15,0),ROUNDUP(MONTH(A511)/3,0))/100,0.03))</f>
        <v>0.07</v>
      </c>
      <c r="C511" s="25" t="n">
        <f aca="false">MAX(0,Penalty!$B$4-SUMIFS(Penalty!$C$10:$C$12,Penalty!$B$10:$B$12,"&lt;"&amp;A511))</f>
        <v>12000</v>
      </c>
      <c r="D511" s="25" t="n">
        <f aca="false">IF(A511&lt;=Penalty!$B$8,C511+F510+IF(A511&gt;Penalty!$B$19,Penalty!$I$5,0)+G510,0)</f>
        <v>0</v>
      </c>
      <c r="E511" s="26" t="n">
        <f aca="false">D511*B511/365</f>
        <v>0</v>
      </c>
      <c r="F511" s="25" t="n">
        <f aca="false">F510+E511*(1-IF(D511&gt;0,(IF(A511&gt;Penalty!$B$19,Penalty!$I$5,0)+G510)/D511,0))</f>
        <v>345.789278153858</v>
      </c>
      <c r="G511" s="25" t="n">
        <f aca="false">G510+E511*IF(D511&gt;0,(IF(A511&gt;Penalty!$B$19,Penalty!$I$5,0)+G510)/D511,0)</f>
        <v>46.6815525507708</v>
      </c>
    </row>
    <row r="512" customFormat="false" ht="15" hidden="false" customHeight="false" outlineLevel="0" collapsed="false">
      <c r="A512" s="23" t="n">
        <f aca="false">Penalty!$B$5+508</f>
        <v>46635</v>
      </c>
      <c r="B512" s="24" t="n">
        <f aca="false">IF(YEAR(A512)&gt;2026,Penalty!$B$16/100,IFERROR(INDEX(Rates!$B$4:$E$15,MATCH(YEAR(A512),Rates!$A$4:$A$15,0),ROUNDUP(MONTH(A512)/3,0))/100,0.03))</f>
        <v>0.07</v>
      </c>
      <c r="C512" s="25" t="n">
        <f aca="false">MAX(0,Penalty!$B$4-SUMIFS(Penalty!$C$10:$C$12,Penalty!$B$10:$B$12,"&lt;"&amp;A512))</f>
        <v>12000</v>
      </c>
      <c r="D512" s="25" t="n">
        <f aca="false">IF(A512&lt;=Penalty!$B$8,C512+F511+IF(A512&gt;Penalty!$B$19,Penalty!$I$5,0)+G511,0)</f>
        <v>0</v>
      </c>
      <c r="E512" s="26" t="n">
        <f aca="false">D512*B512/365</f>
        <v>0</v>
      </c>
      <c r="F512" s="25" t="n">
        <f aca="false">F511+E512*(1-IF(D512&gt;0,(IF(A512&gt;Penalty!$B$19,Penalty!$I$5,0)+G511)/D512,0))</f>
        <v>345.789278153858</v>
      </c>
      <c r="G512" s="25" t="n">
        <f aca="false">G511+E512*IF(D512&gt;0,(IF(A512&gt;Penalty!$B$19,Penalty!$I$5,0)+G511)/D512,0)</f>
        <v>46.6815525507708</v>
      </c>
    </row>
    <row r="513" customFormat="false" ht="15" hidden="false" customHeight="false" outlineLevel="0" collapsed="false">
      <c r="A513" s="23" t="n">
        <f aca="false">Penalty!$B$5+509</f>
        <v>46636</v>
      </c>
      <c r="B513" s="24" t="n">
        <f aca="false">IF(YEAR(A513)&gt;2026,Penalty!$B$16/100,IFERROR(INDEX(Rates!$B$4:$E$15,MATCH(YEAR(A513),Rates!$A$4:$A$15,0),ROUNDUP(MONTH(A513)/3,0))/100,0.03))</f>
        <v>0.07</v>
      </c>
      <c r="C513" s="25" t="n">
        <f aca="false">MAX(0,Penalty!$B$4-SUMIFS(Penalty!$C$10:$C$12,Penalty!$B$10:$B$12,"&lt;"&amp;A513))</f>
        <v>12000</v>
      </c>
      <c r="D513" s="25" t="n">
        <f aca="false">IF(A513&lt;=Penalty!$B$8,C513+F512+IF(A513&gt;Penalty!$B$19,Penalty!$I$5,0)+G512,0)</f>
        <v>0</v>
      </c>
      <c r="E513" s="26" t="n">
        <f aca="false">D513*B513/365</f>
        <v>0</v>
      </c>
      <c r="F513" s="25" t="n">
        <f aca="false">F512+E513*(1-IF(D513&gt;0,(IF(A513&gt;Penalty!$B$19,Penalty!$I$5,0)+G512)/D513,0))</f>
        <v>345.789278153858</v>
      </c>
      <c r="G513" s="25" t="n">
        <f aca="false">G512+E513*IF(D513&gt;0,(IF(A513&gt;Penalty!$B$19,Penalty!$I$5,0)+G512)/D513,0)</f>
        <v>46.6815525507708</v>
      </c>
    </row>
    <row r="514" customFormat="false" ht="15" hidden="false" customHeight="false" outlineLevel="0" collapsed="false">
      <c r="A514" s="23" t="n">
        <f aca="false">Penalty!$B$5+510</f>
        <v>46637</v>
      </c>
      <c r="B514" s="24" t="n">
        <f aca="false">IF(YEAR(A514)&gt;2026,Penalty!$B$16/100,IFERROR(INDEX(Rates!$B$4:$E$15,MATCH(YEAR(A514),Rates!$A$4:$A$15,0),ROUNDUP(MONTH(A514)/3,0))/100,0.03))</f>
        <v>0.07</v>
      </c>
      <c r="C514" s="25" t="n">
        <f aca="false">MAX(0,Penalty!$B$4-SUMIFS(Penalty!$C$10:$C$12,Penalty!$B$10:$B$12,"&lt;"&amp;A514))</f>
        <v>12000</v>
      </c>
      <c r="D514" s="25" t="n">
        <f aca="false">IF(A514&lt;=Penalty!$B$8,C514+F513+IF(A514&gt;Penalty!$B$19,Penalty!$I$5,0)+G513,0)</f>
        <v>0</v>
      </c>
      <c r="E514" s="26" t="n">
        <f aca="false">D514*B514/365</f>
        <v>0</v>
      </c>
      <c r="F514" s="25" t="n">
        <f aca="false">F513+E514*(1-IF(D514&gt;0,(IF(A514&gt;Penalty!$B$19,Penalty!$I$5,0)+G513)/D514,0))</f>
        <v>345.789278153858</v>
      </c>
      <c r="G514" s="25" t="n">
        <f aca="false">G513+E514*IF(D514&gt;0,(IF(A514&gt;Penalty!$B$19,Penalty!$I$5,0)+G513)/D514,0)</f>
        <v>46.6815525507708</v>
      </c>
    </row>
    <row r="515" customFormat="false" ht="15" hidden="false" customHeight="false" outlineLevel="0" collapsed="false">
      <c r="A515" s="23" t="n">
        <f aca="false">Penalty!$B$5+511</f>
        <v>46638</v>
      </c>
      <c r="B515" s="24" t="n">
        <f aca="false">IF(YEAR(A515)&gt;2026,Penalty!$B$16/100,IFERROR(INDEX(Rates!$B$4:$E$15,MATCH(YEAR(A515),Rates!$A$4:$A$15,0),ROUNDUP(MONTH(A515)/3,0))/100,0.03))</f>
        <v>0.07</v>
      </c>
      <c r="C515" s="25" t="n">
        <f aca="false">MAX(0,Penalty!$B$4-SUMIFS(Penalty!$C$10:$C$12,Penalty!$B$10:$B$12,"&lt;"&amp;A515))</f>
        <v>12000</v>
      </c>
      <c r="D515" s="25" t="n">
        <f aca="false">IF(A515&lt;=Penalty!$B$8,C515+F514+IF(A515&gt;Penalty!$B$19,Penalty!$I$5,0)+G514,0)</f>
        <v>0</v>
      </c>
      <c r="E515" s="26" t="n">
        <f aca="false">D515*B515/365</f>
        <v>0</v>
      </c>
      <c r="F515" s="25" t="n">
        <f aca="false">F514+E515*(1-IF(D515&gt;0,(IF(A515&gt;Penalty!$B$19,Penalty!$I$5,0)+G514)/D515,0))</f>
        <v>345.789278153858</v>
      </c>
      <c r="G515" s="25" t="n">
        <f aca="false">G514+E515*IF(D515&gt;0,(IF(A515&gt;Penalty!$B$19,Penalty!$I$5,0)+G514)/D515,0)</f>
        <v>46.6815525507708</v>
      </c>
    </row>
    <row r="516" customFormat="false" ht="15" hidden="false" customHeight="false" outlineLevel="0" collapsed="false">
      <c r="A516" s="23" t="n">
        <f aca="false">Penalty!$B$5+512</f>
        <v>46639</v>
      </c>
      <c r="B516" s="24" t="n">
        <f aca="false">IF(YEAR(A516)&gt;2026,Penalty!$B$16/100,IFERROR(INDEX(Rates!$B$4:$E$15,MATCH(YEAR(A516),Rates!$A$4:$A$15,0),ROUNDUP(MONTH(A516)/3,0))/100,0.03))</f>
        <v>0.07</v>
      </c>
      <c r="C516" s="25" t="n">
        <f aca="false">MAX(0,Penalty!$B$4-SUMIFS(Penalty!$C$10:$C$12,Penalty!$B$10:$B$12,"&lt;"&amp;A516))</f>
        <v>12000</v>
      </c>
      <c r="D516" s="25" t="n">
        <f aca="false">IF(A516&lt;=Penalty!$B$8,C516+F515+IF(A516&gt;Penalty!$B$19,Penalty!$I$5,0)+G515,0)</f>
        <v>0</v>
      </c>
      <c r="E516" s="26" t="n">
        <f aca="false">D516*B516/365</f>
        <v>0</v>
      </c>
      <c r="F516" s="25" t="n">
        <f aca="false">F515+E516*(1-IF(D516&gt;0,(IF(A516&gt;Penalty!$B$19,Penalty!$I$5,0)+G515)/D516,0))</f>
        <v>345.789278153858</v>
      </c>
      <c r="G516" s="25" t="n">
        <f aca="false">G515+E516*IF(D516&gt;0,(IF(A516&gt;Penalty!$B$19,Penalty!$I$5,0)+G515)/D516,0)</f>
        <v>46.6815525507708</v>
      </c>
    </row>
    <row r="517" customFormat="false" ht="15" hidden="false" customHeight="false" outlineLevel="0" collapsed="false">
      <c r="A517" s="23" t="n">
        <f aca="false">Penalty!$B$5+513</f>
        <v>46640</v>
      </c>
      <c r="B517" s="24" t="n">
        <f aca="false">IF(YEAR(A517)&gt;2026,Penalty!$B$16/100,IFERROR(INDEX(Rates!$B$4:$E$15,MATCH(YEAR(A517),Rates!$A$4:$A$15,0),ROUNDUP(MONTH(A517)/3,0))/100,0.03))</f>
        <v>0.07</v>
      </c>
      <c r="C517" s="25" t="n">
        <f aca="false">MAX(0,Penalty!$B$4-SUMIFS(Penalty!$C$10:$C$12,Penalty!$B$10:$B$12,"&lt;"&amp;A517))</f>
        <v>12000</v>
      </c>
      <c r="D517" s="25" t="n">
        <f aca="false">IF(A517&lt;=Penalty!$B$8,C517+F516+IF(A517&gt;Penalty!$B$19,Penalty!$I$5,0)+G516,0)</f>
        <v>0</v>
      </c>
      <c r="E517" s="26" t="n">
        <f aca="false">D517*B517/365</f>
        <v>0</v>
      </c>
      <c r="F517" s="25" t="n">
        <f aca="false">F516+E517*(1-IF(D517&gt;0,(IF(A517&gt;Penalty!$B$19,Penalty!$I$5,0)+G516)/D517,0))</f>
        <v>345.789278153858</v>
      </c>
      <c r="G517" s="25" t="n">
        <f aca="false">G516+E517*IF(D517&gt;0,(IF(A517&gt;Penalty!$B$19,Penalty!$I$5,0)+G516)/D517,0)</f>
        <v>46.6815525507708</v>
      </c>
    </row>
    <row r="518" customFormat="false" ht="15" hidden="false" customHeight="false" outlineLevel="0" collapsed="false">
      <c r="A518" s="23" t="n">
        <f aca="false">Penalty!$B$5+514</f>
        <v>46641</v>
      </c>
      <c r="B518" s="24" t="n">
        <f aca="false">IF(YEAR(A518)&gt;2026,Penalty!$B$16/100,IFERROR(INDEX(Rates!$B$4:$E$15,MATCH(YEAR(A518),Rates!$A$4:$A$15,0),ROUNDUP(MONTH(A518)/3,0))/100,0.03))</f>
        <v>0.07</v>
      </c>
      <c r="C518" s="25" t="n">
        <f aca="false">MAX(0,Penalty!$B$4-SUMIFS(Penalty!$C$10:$C$12,Penalty!$B$10:$B$12,"&lt;"&amp;A518))</f>
        <v>12000</v>
      </c>
      <c r="D518" s="25" t="n">
        <f aca="false">IF(A518&lt;=Penalty!$B$8,C518+F517+IF(A518&gt;Penalty!$B$19,Penalty!$I$5,0)+G517,0)</f>
        <v>0</v>
      </c>
      <c r="E518" s="26" t="n">
        <f aca="false">D518*B518/365</f>
        <v>0</v>
      </c>
      <c r="F518" s="25" t="n">
        <f aca="false">F517+E518*(1-IF(D518&gt;0,(IF(A518&gt;Penalty!$B$19,Penalty!$I$5,0)+G517)/D518,0))</f>
        <v>345.789278153858</v>
      </c>
      <c r="G518" s="25" t="n">
        <f aca="false">G517+E518*IF(D518&gt;0,(IF(A518&gt;Penalty!$B$19,Penalty!$I$5,0)+G517)/D518,0)</f>
        <v>46.6815525507708</v>
      </c>
    </row>
    <row r="519" customFormat="false" ht="15" hidden="false" customHeight="false" outlineLevel="0" collapsed="false">
      <c r="A519" s="23" t="n">
        <f aca="false">Penalty!$B$5+515</f>
        <v>46642</v>
      </c>
      <c r="B519" s="24" t="n">
        <f aca="false">IF(YEAR(A519)&gt;2026,Penalty!$B$16/100,IFERROR(INDEX(Rates!$B$4:$E$15,MATCH(YEAR(A519),Rates!$A$4:$A$15,0),ROUNDUP(MONTH(A519)/3,0))/100,0.03))</f>
        <v>0.07</v>
      </c>
      <c r="C519" s="25" t="n">
        <f aca="false">MAX(0,Penalty!$B$4-SUMIFS(Penalty!$C$10:$C$12,Penalty!$B$10:$B$12,"&lt;"&amp;A519))</f>
        <v>12000</v>
      </c>
      <c r="D519" s="25" t="n">
        <f aca="false">IF(A519&lt;=Penalty!$B$8,C519+F518+IF(A519&gt;Penalty!$B$19,Penalty!$I$5,0)+G518,0)</f>
        <v>0</v>
      </c>
      <c r="E519" s="26" t="n">
        <f aca="false">D519*B519/365</f>
        <v>0</v>
      </c>
      <c r="F519" s="25" t="n">
        <f aca="false">F518+E519*(1-IF(D519&gt;0,(IF(A519&gt;Penalty!$B$19,Penalty!$I$5,0)+G518)/D519,0))</f>
        <v>345.789278153858</v>
      </c>
      <c r="G519" s="25" t="n">
        <f aca="false">G518+E519*IF(D519&gt;0,(IF(A519&gt;Penalty!$B$19,Penalty!$I$5,0)+G518)/D519,0)</f>
        <v>46.6815525507708</v>
      </c>
    </row>
    <row r="520" customFormat="false" ht="15" hidden="false" customHeight="false" outlineLevel="0" collapsed="false">
      <c r="A520" s="23" t="n">
        <f aca="false">Penalty!$B$5+516</f>
        <v>46643</v>
      </c>
      <c r="B520" s="24" t="n">
        <f aca="false">IF(YEAR(A520)&gt;2026,Penalty!$B$16/100,IFERROR(INDEX(Rates!$B$4:$E$15,MATCH(YEAR(A520),Rates!$A$4:$A$15,0),ROUNDUP(MONTH(A520)/3,0))/100,0.03))</f>
        <v>0.07</v>
      </c>
      <c r="C520" s="25" t="n">
        <f aca="false">MAX(0,Penalty!$B$4-SUMIFS(Penalty!$C$10:$C$12,Penalty!$B$10:$B$12,"&lt;"&amp;A520))</f>
        <v>12000</v>
      </c>
      <c r="D520" s="25" t="n">
        <f aca="false">IF(A520&lt;=Penalty!$B$8,C520+F519+IF(A520&gt;Penalty!$B$19,Penalty!$I$5,0)+G519,0)</f>
        <v>0</v>
      </c>
      <c r="E520" s="26" t="n">
        <f aca="false">D520*B520/365</f>
        <v>0</v>
      </c>
      <c r="F520" s="25" t="n">
        <f aca="false">F519+E520*(1-IF(D520&gt;0,(IF(A520&gt;Penalty!$B$19,Penalty!$I$5,0)+G519)/D520,0))</f>
        <v>345.789278153858</v>
      </c>
      <c r="G520" s="25" t="n">
        <f aca="false">G519+E520*IF(D520&gt;0,(IF(A520&gt;Penalty!$B$19,Penalty!$I$5,0)+G519)/D520,0)</f>
        <v>46.6815525507708</v>
      </c>
    </row>
    <row r="521" customFormat="false" ht="15" hidden="false" customHeight="false" outlineLevel="0" collapsed="false">
      <c r="A521" s="23" t="n">
        <f aca="false">Penalty!$B$5+517</f>
        <v>46644</v>
      </c>
      <c r="B521" s="24" t="n">
        <f aca="false">IF(YEAR(A521)&gt;2026,Penalty!$B$16/100,IFERROR(INDEX(Rates!$B$4:$E$15,MATCH(YEAR(A521),Rates!$A$4:$A$15,0),ROUNDUP(MONTH(A521)/3,0))/100,0.03))</f>
        <v>0.07</v>
      </c>
      <c r="C521" s="25" t="n">
        <f aca="false">MAX(0,Penalty!$B$4-SUMIFS(Penalty!$C$10:$C$12,Penalty!$B$10:$B$12,"&lt;"&amp;A521))</f>
        <v>12000</v>
      </c>
      <c r="D521" s="25" t="n">
        <f aca="false">IF(A521&lt;=Penalty!$B$8,C521+F520+IF(A521&gt;Penalty!$B$19,Penalty!$I$5,0)+G520,0)</f>
        <v>0</v>
      </c>
      <c r="E521" s="26" t="n">
        <f aca="false">D521*B521/365</f>
        <v>0</v>
      </c>
      <c r="F521" s="25" t="n">
        <f aca="false">F520+E521*(1-IF(D521&gt;0,(IF(A521&gt;Penalty!$B$19,Penalty!$I$5,0)+G520)/D521,0))</f>
        <v>345.789278153858</v>
      </c>
      <c r="G521" s="25" t="n">
        <f aca="false">G520+E521*IF(D521&gt;0,(IF(A521&gt;Penalty!$B$19,Penalty!$I$5,0)+G520)/D521,0)</f>
        <v>46.6815525507708</v>
      </c>
    </row>
    <row r="522" customFormat="false" ht="15" hidden="false" customHeight="false" outlineLevel="0" collapsed="false">
      <c r="A522" s="23" t="n">
        <f aca="false">Penalty!$B$5+518</f>
        <v>46645</v>
      </c>
      <c r="B522" s="24" t="n">
        <f aca="false">IF(YEAR(A522)&gt;2026,Penalty!$B$16/100,IFERROR(INDEX(Rates!$B$4:$E$15,MATCH(YEAR(A522),Rates!$A$4:$A$15,0),ROUNDUP(MONTH(A522)/3,0))/100,0.03))</f>
        <v>0.07</v>
      </c>
      <c r="C522" s="25" t="n">
        <f aca="false">MAX(0,Penalty!$B$4-SUMIFS(Penalty!$C$10:$C$12,Penalty!$B$10:$B$12,"&lt;"&amp;A522))</f>
        <v>12000</v>
      </c>
      <c r="D522" s="25" t="n">
        <f aca="false">IF(A522&lt;=Penalty!$B$8,C522+F521+IF(A522&gt;Penalty!$B$19,Penalty!$I$5,0)+G521,0)</f>
        <v>0</v>
      </c>
      <c r="E522" s="26" t="n">
        <f aca="false">D522*B522/365</f>
        <v>0</v>
      </c>
      <c r="F522" s="25" t="n">
        <f aca="false">F521+E522*(1-IF(D522&gt;0,(IF(A522&gt;Penalty!$B$19,Penalty!$I$5,0)+G521)/D522,0))</f>
        <v>345.789278153858</v>
      </c>
      <c r="G522" s="25" t="n">
        <f aca="false">G521+E522*IF(D522&gt;0,(IF(A522&gt;Penalty!$B$19,Penalty!$I$5,0)+G521)/D522,0)</f>
        <v>46.6815525507708</v>
      </c>
    </row>
    <row r="523" customFormat="false" ht="15" hidden="false" customHeight="false" outlineLevel="0" collapsed="false">
      <c r="A523" s="23" t="n">
        <f aca="false">Penalty!$B$5+519</f>
        <v>46646</v>
      </c>
      <c r="B523" s="24" t="n">
        <f aca="false">IF(YEAR(A523)&gt;2026,Penalty!$B$16/100,IFERROR(INDEX(Rates!$B$4:$E$15,MATCH(YEAR(A523),Rates!$A$4:$A$15,0),ROUNDUP(MONTH(A523)/3,0))/100,0.03))</f>
        <v>0.07</v>
      </c>
      <c r="C523" s="25" t="n">
        <f aca="false">MAX(0,Penalty!$B$4-SUMIFS(Penalty!$C$10:$C$12,Penalty!$B$10:$B$12,"&lt;"&amp;A523))</f>
        <v>12000</v>
      </c>
      <c r="D523" s="25" t="n">
        <f aca="false">IF(A523&lt;=Penalty!$B$8,C523+F522+IF(A523&gt;Penalty!$B$19,Penalty!$I$5,0)+G522,0)</f>
        <v>0</v>
      </c>
      <c r="E523" s="26" t="n">
        <f aca="false">D523*B523/365</f>
        <v>0</v>
      </c>
      <c r="F523" s="25" t="n">
        <f aca="false">F522+E523*(1-IF(D523&gt;0,(IF(A523&gt;Penalty!$B$19,Penalty!$I$5,0)+G522)/D523,0))</f>
        <v>345.789278153858</v>
      </c>
      <c r="G523" s="25" t="n">
        <f aca="false">G522+E523*IF(D523&gt;0,(IF(A523&gt;Penalty!$B$19,Penalty!$I$5,0)+G522)/D523,0)</f>
        <v>46.6815525507708</v>
      </c>
    </row>
    <row r="524" customFormat="false" ht="15" hidden="false" customHeight="false" outlineLevel="0" collapsed="false">
      <c r="A524" s="23" t="n">
        <f aca="false">Penalty!$B$5+520</f>
        <v>46647</v>
      </c>
      <c r="B524" s="24" t="n">
        <f aca="false">IF(YEAR(A524)&gt;2026,Penalty!$B$16/100,IFERROR(INDEX(Rates!$B$4:$E$15,MATCH(YEAR(A524),Rates!$A$4:$A$15,0),ROUNDUP(MONTH(A524)/3,0))/100,0.03))</f>
        <v>0.07</v>
      </c>
      <c r="C524" s="25" t="n">
        <f aca="false">MAX(0,Penalty!$B$4-SUMIFS(Penalty!$C$10:$C$12,Penalty!$B$10:$B$12,"&lt;"&amp;A524))</f>
        <v>12000</v>
      </c>
      <c r="D524" s="25" t="n">
        <f aca="false">IF(A524&lt;=Penalty!$B$8,C524+F523+IF(A524&gt;Penalty!$B$19,Penalty!$I$5,0)+G523,0)</f>
        <v>0</v>
      </c>
      <c r="E524" s="26" t="n">
        <f aca="false">D524*B524/365</f>
        <v>0</v>
      </c>
      <c r="F524" s="25" t="n">
        <f aca="false">F523+E524*(1-IF(D524&gt;0,(IF(A524&gt;Penalty!$B$19,Penalty!$I$5,0)+G523)/D524,0))</f>
        <v>345.789278153858</v>
      </c>
      <c r="G524" s="25" t="n">
        <f aca="false">G523+E524*IF(D524&gt;0,(IF(A524&gt;Penalty!$B$19,Penalty!$I$5,0)+G523)/D524,0)</f>
        <v>46.6815525507708</v>
      </c>
    </row>
    <row r="525" customFormat="false" ht="15" hidden="false" customHeight="false" outlineLevel="0" collapsed="false">
      <c r="A525" s="23" t="n">
        <f aca="false">Penalty!$B$5+521</f>
        <v>46648</v>
      </c>
      <c r="B525" s="24" t="n">
        <f aca="false">IF(YEAR(A525)&gt;2026,Penalty!$B$16/100,IFERROR(INDEX(Rates!$B$4:$E$15,MATCH(YEAR(A525),Rates!$A$4:$A$15,0),ROUNDUP(MONTH(A525)/3,0))/100,0.03))</f>
        <v>0.07</v>
      </c>
      <c r="C525" s="25" t="n">
        <f aca="false">MAX(0,Penalty!$B$4-SUMIFS(Penalty!$C$10:$C$12,Penalty!$B$10:$B$12,"&lt;"&amp;A525))</f>
        <v>12000</v>
      </c>
      <c r="D525" s="25" t="n">
        <f aca="false">IF(A525&lt;=Penalty!$B$8,C525+F524+IF(A525&gt;Penalty!$B$19,Penalty!$I$5,0)+G524,0)</f>
        <v>0</v>
      </c>
      <c r="E525" s="26" t="n">
        <f aca="false">D525*B525/365</f>
        <v>0</v>
      </c>
      <c r="F525" s="25" t="n">
        <f aca="false">F524+E525*(1-IF(D525&gt;0,(IF(A525&gt;Penalty!$B$19,Penalty!$I$5,0)+G524)/D525,0))</f>
        <v>345.789278153858</v>
      </c>
      <c r="G525" s="25" t="n">
        <f aca="false">G524+E525*IF(D525&gt;0,(IF(A525&gt;Penalty!$B$19,Penalty!$I$5,0)+G524)/D525,0)</f>
        <v>46.6815525507708</v>
      </c>
    </row>
    <row r="526" customFormat="false" ht="15" hidden="false" customHeight="false" outlineLevel="0" collapsed="false">
      <c r="A526" s="23" t="n">
        <f aca="false">Penalty!$B$5+522</f>
        <v>46649</v>
      </c>
      <c r="B526" s="24" t="n">
        <f aca="false">IF(YEAR(A526)&gt;2026,Penalty!$B$16/100,IFERROR(INDEX(Rates!$B$4:$E$15,MATCH(YEAR(A526),Rates!$A$4:$A$15,0),ROUNDUP(MONTH(A526)/3,0))/100,0.03))</f>
        <v>0.07</v>
      </c>
      <c r="C526" s="25" t="n">
        <f aca="false">MAX(0,Penalty!$B$4-SUMIFS(Penalty!$C$10:$C$12,Penalty!$B$10:$B$12,"&lt;"&amp;A526))</f>
        <v>12000</v>
      </c>
      <c r="D526" s="25" t="n">
        <f aca="false">IF(A526&lt;=Penalty!$B$8,C526+F525+IF(A526&gt;Penalty!$B$19,Penalty!$I$5,0)+G525,0)</f>
        <v>0</v>
      </c>
      <c r="E526" s="26" t="n">
        <f aca="false">D526*B526/365</f>
        <v>0</v>
      </c>
      <c r="F526" s="25" t="n">
        <f aca="false">F525+E526*(1-IF(D526&gt;0,(IF(A526&gt;Penalty!$B$19,Penalty!$I$5,0)+G525)/D526,0))</f>
        <v>345.789278153858</v>
      </c>
      <c r="G526" s="25" t="n">
        <f aca="false">G525+E526*IF(D526&gt;0,(IF(A526&gt;Penalty!$B$19,Penalty!$I$5,0)+G525)/D526,0)</f>
        <v>46.6815525507708</v>
      </c>
    </row>
    <row r="527" customFormat="false" ht="15" hidden="false" customHeight="false" outlineLevel="0" collapsed="false">
      <c r="A527" s="23" t="n">
        <f aca="false">Penalty!$B$5+523</f>
        <v>46650</v>
      </c>
      <c r="B527" s="24" t="n">
        <f aca="false">IF(YEAR(A527)&gt;2026,Penalty!$B$16/100,IFERROR(INDEX(Rates!$B$4:$E$15,MATCH(YEAR(A527),Rates!$A$4:$A$15,0),ROUNDUP(MONTH(A527)/3,0))/100,0.03))</f>
        <v>0.07</v>
      </c>
      <c r="C527" s="25" t="n">
        <f aca="false">MAX(0,Penalty!$B$4-SUMIFS(Penalty!$C$10:$C$12,Penalty!$B$10:$B$12,"&lt;"&amp;A527))</f>
        <v>12000</v>
      </c>
      <c r="D527" s="25" t="n">
        <f aca="false">IF(A527&lt;=Penalty!$B$8,C527+F526+IF(A527&gt;Penalty!$B$19,Penalty!$I$5,0)+G526,0)</f>
        <v>0</v>
      </c>
      <c r="E527" s="26" t="n">
        <f aca="false">D527*B527/365</f>
        <v>0</v>
      </c>
      <c r="F527" s="25" t="n">
        <f aca="false">F526+E527*(1-IF(D527&gt;0,(IF(A527&gt;Penalty!$B$19,Penalty!$I$5,0)+G526)/D527,0))</f>
        <v>345.789278153858</v>
      </c>
      <c r="G527" s="25" t="n">
        <f aca="false">G526+E527*IF(D527&gt;0,(IF(A527&gt;Penalty!$B$19,Penalty!$I$5,0)+G526)/D527,0)</f>
        <v>46.6815525507708</v>
      </c>
    </row>
    <row r="528" customFormat="false" ht="15" hidden="false" customHeight="false" outlineLevel="0" collapsed="false">
      <c r="A528" s="23" t="n">
        <f aca="false">Penalty!$B$5+524</f>
        <v>46651</v>
      </c>
      <c r="B528" s="24" t="n">
        <f aca="false">IF(YEAR(A528)&gt;2026,Penalty!$B$16/100,IFERROR(INDEX(Rates!$B$4:$E$15,MATCH(YEAR(A528),Rates!$A$4:$A$15,0),ROUNDUP(MONTH(A528)/3,0))/100,0.03))</f>
        <v>0.07</v>
      </c>
      <c r="C528" s="25" t="n">
        <f aca="false">MAX(0,Penalty!$B$4-SUMIFS(Penalty!$C$10:$C$12,Penalty!$B$10:$B$12,"&lt;"&amp;A528))</f>
        <v>12000</v>
      </c>
      <c r="D528" s="25" t="n">
        <f aca="false">IF(A528&lt;=Penalty!$B$8,C528+F527+IF(A528&gt;Penalty!$B$19,Penalty!$I$5,0)+G527,0)</f>
        <v>0</v>
      </c>
      <c r="E528" s="26" t="n">
        <f aca="false">D528*B528/365</f>
        <v>0</v>
      </c>
      <c r="F528" s="25" t="n">
        <f aca="false">F527+E528*(1-IF(D528&gt;0,(IF(A528&gt;Penalty!$B$19,Penalty!$I$5,0)+G527)/D528,0))</f>
        <v>345.789278153858</v>
      </c>
      <c r="G528" s="25" t="n">
        <f aca="false">G527+E528*IF(D528&gt;0,(IF(A528&gt;Penalty!$B$19,Penalty!$I$5,0)+G527)/D528,0)</f>
        <v>46.6815525507708</v>
      </c>
    </row>
    <row r="529" customFormat="false" ht="15" hidden="false" customHeight="false" outlineLevel="0" collapsed="false">
      <c r="A529" s="23" t="n">
        <f aca="false">Penalty!$B$5+525</f>
        <v>46652</v>
      </c>
      <c r="B529" s="24" t="n">
        <f aca="false">IF(YEAR(A529)&gt;2026,Penalty!$B$16/100,IFERROR(INDEX(Rates!$B$4:$E$15,MATCH(YEAR(A529),Rates!$A$4:$A$15,0),ROUNDUP(MONTH(A529)/3,0))/100,0.03))</f>
        <v>0.07</v>
      </c>
      <c r="C529" s="25" t="n">
        <f aca="false">MAX(0,Penalty!$B$4-SUMIFS(Penalty!$C$10:$C$12,Penalty!$B$10:$B$12,"&lt;"&amp;A529))</f>
        <v>12000</v>
      </c>
      <c r="D529" s="25" t="n">
        <f aca="false">IF(A529&lt;=Penalty!$B$8,C529+F528+IF(A529&gt;Penalty!$B$19,Penalty!$I$5,0)+G528,0)</f>
        <v>0</v>
      </c>
      <c r="E529" s="26" t="n">
        <f aca="false">D529*B529/365</f>
        <v>0</v>
      </c>
      <c r="F529" s="25" t="n">
        <f aca="false">F528+E529*(1-IF(D529&gt;0,(IF(A529&gt;Penalty!$B$19,Penalty!$I$5,0)+G528)/D529,0))</f>
        <v>345.789278153858</v>
      </c>
      <c r="G529" s="25" t="n">
        <f aca="false">G528+E529*IF(D529&gt;0,(IF(A529&gt;Penalty!$B$19,Penalty!$I$5,0)+G528)/D529,0)</f>
        <v>46.6815525507708</v>
      </c>
    </row>
    <row r="530" customFormat="false" ht="15" hidden="false" customHeight="false" outlineLevel="0" collapsed="false">
      <c r="A530" s="23" t="n">
        <f aca="false">Penalty!$B$5+526</f>
        <v>46653</v>
      </c>
      <c r="B530" s="24" t="n">
        <f aca="false">IF(YEAR(A530)&gt;2026,Penalty!$B$16/100,IFERROR(INDEX(Rates!$B$4:$E$15,MATCH(YEAR(A530),Rates!$A$4:$A$15,0),ROUNDUP(MONTH(A530)/3,0))/100,0.03))</f>
        <v>0.07</v>
      </c>
      <c r="C530" s="25" t="n">
        <f aca="false">MAX(0,Penalty!$B$4-SUMIFS(Penalty!$C$10:$C$12,Penalty!$B$10:$B$12,"&lt;"&amp;A530))</f>
        <v>12000</v>
      </c>
      <c r="D530" s="25" t="n">
        <f aca="false">IF(A530&lt;=Penalty!$B$8,C530+F529+IF(A530&gt;Penalty!$B$19,Penalty!$I$5,0)+G529,0)</f>
        <v>0</v>
      </c>
      <c r="E530" s="26" t="n">
        <f aca="false">D530*B530/365</f>
        <v>0</v>
      </c>
      <c r="F530" s="25" t="n">
        <f aca="false">F529+E530*(1-IF(D530&gt;0,(IF(A530&gt;Penalty!$B$19,Penalty!$I$5,0)+G529)/D530,0))</f>
        <v>345.789278153858</v>
      </c>
      <c r="G530" s="25" t="n">
        <f aca="false">G529+E530*IF(D530&gt;0,(IF(A530&gt;Penalty!$B$19,Penalty!$I$5,0)+G529)/D530,0)</f>
        <v>46.6815525507708</v>
      </c>
    </row>
    <row r="531" customFormat="false" ht="15" hidden="false" customHeight="false" outlineLevel="0" collapsed="false">
      <c r="A531" s="23" t="n">
        <f aca="false">Penalty!$B$5+527</f>
        <v>46654</v>
      </c>
      <c r="B531" s="24" t="n">
        <f aca="false">IF(YEAR(A531)&gt;2026,Penalty!$B$16/100,IFERROR(INDEX(Rates!$B$4:$E$15,MATCH(YEAR(A531),Rates!$A$4:$A$15,0),ROUNDUP(MONTH(A531)/3,0))/100,0.03))</f>
        <v>0.07</v>
      </c>
      <c r="C531" s="25" t="n">
        <f aca="false">MAX(0,Penalty!$B$4-SUMIFS(Penalty!$C$10:$C$12,Penalty!$B$10:$B$12,"&lt;"&amp;A531))</f>
        <v>12000</v>
      </c>
      <c r="D531" s="25" t="n">
        <f aca="false">IF(A531&lt;=Penalty!$B$8,C531+F530+IF(A531&gt;Penalty!$B$19,Penalty!$I$5,0)+G530,0)</f>
        <v>0</v>
      </c>
      <c r="E531" s="26" t="n">
        <f aca="false">D531*B531/365</f>
        <v>0</v>
      </c>
      <c r="F531" s="25" t="n">
        <f aca="false">F530+E531*(1-IF(D531&gt;0,(IF(A531&gt;Penalty!$B$19,Penalty!$I$5,0)+G530)/D531,0))</f>
        <v>345.789278153858</v>
      </c>
      <c r="G531" s="25" t="n">
        <f aca="false">G530+E531*IF(D531&gt;0,(IF(A531&gt;Penalty!$B$19,Penalty!$I$5,0)+G530)/D531,0)</f>
        <v>46.6815525507708</v>
      </c>
    </row>
    <row r="532" customFormat="false" ht="15" hidden="false" customHeight="false" outlineLevel="0" collapsed="false">
      <c r="A532" s="23" t="n">
        <f aca="false">Penalty!$B$5+528</f>
        <v>46655</v>
      </c>
      <c r="B532" s="24" t="n">
        <f aca="false">IF(YEAR(A532)&gt;2026,Penalty!$B$16/100,IFERROR(INDEX(Rates!$B$4:$E$15,MATCH(YEAR(A532),Rates!$A$4:$A$15,0),ROUNDUP(MONTH(A532)/3,0))/100,0.03))</f>
        <v>0.07</v>
      </c>
      <c r="C532" s="25" t="n">
        <f aca="false">MAX(0,Penalty!$B$4-SUMIFS(Penalty!$C$10:$C$12,Penalty!$B$10:$B$12,"&lt;"&amp;A532))</f>
        <v>12000</v>
      </c>
      <c r="D532" s="25" t="n">
        <f aca="false">IF(A532&lt;=Penalty!$B$8,C532+F531+IF(A532&gt;Penalty!$B$19,Penalty!$I$5,0)+G531,0)</f>
        <v>0</v>
      </c>
      <c r="E532" s="26" t="n">
        <f aca="false">D532*B532/365</f>
        <v>0</v>
      </c>
      <c r="F532" s="25" t="n">
        <f aca="false">F531+E532*(1-IF(D532&gt;0,(IF(A532&gt;Penalty!$B$19,Penalty!$I$5,0)+G531)/D532,0))</f>
        <v>345.789278153858</v>
      </c>
      <c r="G532" s="25" t="n">
        <f aca="false">G531+E532*IF(D532&gt;0,(IF(A532&gt;Penalty!$B$19,Penalty!$I$5,0)+G531)/D532,0)</f>
        <v>46.6815525507708</v>
      </c>
    </row>
    <row r="533" customFormat="false" ht="15" hidden="false" customHeight="false" outlineLevel="0" collapsed="false">
      <c r="A533" s="23" t="n">
        <f aca="false">Penalty!$B$5+529</f>
        <v>46656</v>
      </c>
      <c r="B533" s="24" t="n">
        <f aca="false">IF(YEAR(A533)&gt;2026,Penalty!$B$16/100,IFERROR(INDEX(Rates!$B$4:$E$15,MATCH(YEAR(A533),Rates!$A$4:$A$15,0),ROUNDUP(MONTH(A533)/3,0))/100,0.03))</f>
        <v>0.07</v>
      </c>
      <c r="C533" s="25" t="n">
        <f aca="false">MAX(0,Penalty!$B$4-SUMIFS(Penalty!$C$10:$C$12,Penalty!$B$10:$B$12,"&lt;"&amp;A533))</f>
        <v>12000</v>
      </c>
      <c r="D533" s="25" t="n">
        <f aca="false">IF(A533&lt;=Penalty!$B$8,C533+F532+IF(A533&gt;Penalty!$B$19,Penalty!$I$5,0)+G532,0)</f>
        <v>0</v>
      </c>
      <c r="E533" s="26" t="n">
        <f aca="false">D533*B533/365</f>
        <v>0</v>
      </c>
      <c r="F533" s="25" t="n">
        <f aca="false">F532+E533*(1-IF(D533&gt;0,(IF(A533&gt;Penalty!$B$19,Penalty!$I$5,0)+G532)/D533,0))</f>
        <v>345.789278153858</v>
      </c>
      <c r="G533" s="25" t="n">
        <f aca="false">G532+E533*IF(D533&gt;0,(IF(A533&gt;Penalty!$B$19,Penalty!$I$5,0)+G532)/D533,0)</f>
        <v>46.6815525507708</v>
      </c>
    </row>
    <row r="534" customFormat="false" ht="15" hidden="false" customHeight="false" outlineLevel="0" collapsed="false">
      <c r="A534" s="23" t="n">
        <f aca="false">Penalty!$B$5+530</f>
        <v>46657</v>
      </c>
      <c r="B534" s="24" t="n">
        <f aca="false">IF(YEAR(A534)&gt;2026,Penalty!$B$16/100,IFERROR(INDEX(Rates!$B$4:$E$15,MATCH(YEAR(A534),Rates!$A$4:$A$15,0),ROUNDUP(MONTH(A534)/3,0))/100,0.03))</f>
        <v>0.07</v>
      </c>
      <c r="C534" s="25" t="n">
        <f aca="false">MAX(0,Penalty!$B$4-SUMIFS(Penalty!$C$10:$C$12,Penalty!$B$10:$B$12,"&lt;"&amp;A534))</f>
        <v>12000</v>
      </c>
      <c r="D534" s="25" t="n">
        <f aca="false">IF(A534&lt;=Penalty!$B$8,C534+F533+IF(A534&gt;Penalty!$B$19,Penalty!$I$5,0)+G533,0)</f>
        <v>0</v>
      </c>
      <c r="E534" s="26" t="n">
        <f aca="false">D534*B534/365</f>
        <v>0</v>
      </c>
      <c r="F534" s="25" t="n">
        <f aca="false">F533+E534*(1-IF(D534&gt;0,(IF(A534&gt;Penalty!$B$19,Penalty!$I$5,0)+G533)/D534,0))</f>
        <v>345.789278153858</v>
      </c>
      <c r="G534" s="25" t="n">
        <f aca="false">G533+E534*IF(D534&gt;0,(IF(A534&gt;Penalty!$B$19,Penalty!$I$5,0)+G533)/D534,0)</f>
        <v>46.6815525507708</v>
      </c>
    </row>
    <row r="535" customFormat="false" ht="15" hidden="false" customHeight="false" outlineLevel="0" collapsed="false">
      <c r="A535" s="23" t="n">
        <f aca="false">Penalty!$B$5+531</f>
        <v>46658</v>
      </c>
      <c r="B535" s="24" t="n">
        <f aca="false">IF(YEAR(A535)&gt;2026,Penalty!$B$16/100,IFERROR(INDEX(Rates!$B$4:$E$15,MATCH(YEAR(A535),Rates!$A$4:$A$15,0),ROUNDUP(MONTH(A535)/3,0))/100,0.03))</f>
        <v>0.07</v>
      </c>
      <c r="C535" s="25" t="n">
        <f aca="false">MAX(0,Penalty!$B$4-SUMIFS(Penalty!$C$10:$C$12,Penalty!$B$10:$B$12,"&lt;"&amp;A535))</f>
        <v>12000</v>
      </c>
      <c r="D535" s="25" t="n">
        <f aca="false">IF(A535&lt;=Penalty!$B$8,C535+F534+IF(A535&gt;Penalty!$B$19,Penalty!$I$5,0)+G534,0)</f>
        <v>0</v>
      </c>
      <c r="E535" s="26" t="n">
        <f aca="false">D535*B535/365</f>
        <v>0</v>
      </c>
      <c r="F535" s="25" t="n">
        <f aca="false">F534+E535*(1-IF(D535&gt;0,(IF(A535&gt;Penalty!$B$19,Penalty!$I$5,0)+G534)/D535,0))</f>
        <v>345.789278153858</v>
      </c>
      <c r="G535" s="25" t="n">
        <f aca="false">G534+E535*IF(D535&gt;0,(IF(A535&gt;Penalty!$B$19,Penalty!$I$5,0)+G534)/D535,0)</f>
        <v>46.6815525507708</v>
      </c>
    </row>
    <row r="536" customFormat="false" ht="15" hidden="false" customHeight="false" outlineLevel="0" collapsed="false">
      <c r="A536" s="23" t="n">
        <f aca="false">Penalty!$B$5+532</f>
        <v>46659</v>
      </c>
      <c r="B536" s="24" t="n">
        <f aca="false">IF(YEAR(A536)&gt;2026,Penalty!$B$16/100,IFERROR(INDEX(Rates!$B$4:$E$15,MATCH(YEAR(A536),Rates!$A$4:$A$15,0),ROUNDUP(MONTH(A536)/3,0))/100,0.03))</f>
        <v>0.07</v>
      </c>
      <c r="C536" s="25" t="n">
        <f aca="false">MAX(0,Penalty!$B$4-SUMIFS(Penalty!$C$10:$C$12,Penalty!$B$10:$B$12,"&lt;"&amp;A536))</f>
        <v>12000</v>
      </c>
      <c r="D536" s="25" t="n">
        <f aca="false">IF(A536&lt;=Penalty!$B$8,C536+F535+IF(A536&gt;Penalty!$B$19,Penalty!$I$5,0)+G535,0)</f>
        <v>0</v>
      </c>
      <c r="E536" s="26" t="n">
        <f aca="false">D536*B536/365</f>
        <v>0</v>
      </c>
      <c r="F536" s="25" t="n">
        <f aca="false">F535+E536*(1-IF(D536&gt;0,(IF(A536&gt;Penalty!$B$19,Penalty!$I$5,0)+G535)/D536,0))</f>
        <v>345.789278153858</v>
      </c>
      <c r="G536" s="25" t="n">
        <f aca="false">G535+E536*IF(D536&gt;0,(IF(A536&gt;Penalty!$B$19,Penalty!$I$5,0)+G535)/D536,0)</f>
        <v>46.6815525507708</v>
      </c>
    </row>
    <row r="537" customFormat="false" ht="15" hidden="false" customHeight="false" outlineLevel="0" collapsed="false">
      <c r="A537" s="23" t="n">
        <f aca="false">Penalty!$B$5+533</f>
        <v>46660</v>
      </c>
      <c r="B537" s="24" t="n">
        <f aca="false">IF(YEAR(A537)&gt;2026,Penalty!$B$16/100,IFERROR(INDEX(Rates!$B$4:$E$15,MATCH(YEAR(A537),Rates!$A$4:$A$15,0),ROUNDUP(MONTH(A537)/3,0))/100,0.03))</f>
        <v>0.07</v>
      </c>
      <c r="C537" s="25" t="n">
        <f aca="false">MAX(0,Penalty!$B$4-SUMIFS(Penalty!$C$10:$C$12,Penalty!$B$10:$B$12,"&lt;"&amp;A537))</f>
        <v>12000</v>
      </c>
      <c r="D537" s="25" t="n">
        <f aca="false">IF(A537&lt;=Penalty!$B$8,C537+F536+IF(A537&gt;Penalty!$B$19,Penalty!$I$5,0)+G536,0)</f>
        <v>0</v>
      </c>
      <c r="E537" s="26" t="n">
        <f aca="false">D537*B537/365</f>
        <v>0</v>
      </c>
      <c r="F537" s="25" t="n">
        <f aca="false">F536+E537*(1-IF(D537&gt;0,(IF(A537&gt;Penalty!$B$19,Penalty!$I$5,0)+G536)/D537,0))</f>
        <v>345.789278153858</v>
      </c>
      <c r="G537" s="25" t="n">
        <f aca="false">G536+E537*IF(D537&gt;0,(IF(A537&gt;Penalty!$B$19,Penalty!$I$5,0)+G536)/D537,0)</f>
        <v>46.6815525507708</v>
      </c>
    </row>
    <row r="538" customFormat="false" ht="15" hidden="false" customHeight="false" outlineLevel="0" collapsed="false">
      <c r="A538" s="23" t="n">
        <f aca="false">Penalty!$B$5+534</f>
        <v>46661</v>
      </c>
      <c r="B538" s="24" t="n">
        <f aca="false">IF(YEAR(A538)&gt;2026,Penalty!$B$16/100,IFERROR(INDEX(Rates!$B$4:$E$15,MATCH(YEAR(A538),Rates!$A$4:$A$15,0),ROUNDUP(MONTH(A538)/3,0))/100,0.03))</f>
        <v>0.07</v>
      </c>
      <c r="C538" s="25" t="n">
        <f aca="false">MAX(0,Penalty!$B$4-SUMIFS(Penalty!$C$10:$C$12,Penalty!$B$10:$B$12,"&lt;"&amp;A538))</f>
        <v>12000</v>
      </c>
      <c r="D538" s="25" t="n">
        <f aca="false">IF(A538&lt;=Penalty!$B$8,C538+F537+IF(A538&gt;Penalty!$B$19,Penalty!$I$5,0)+G537,0)</f>
        <v>0</v>
      </c>
      <c r="E538" s="26" t="n">
        <f aca="false">D538*B538/365</f>
        <v>0</v>
      </c>
      <c r="F538" s="25" t="n">
        <f aca="false">F537+E538*(1-IF(D538&gt;0,(IF(A538&gt;Penalty!$B$19,Penalty!$I$5,0)+G537)/D538,0))</f>
        <v>345.789278153858</v>
      </c>
      <c r="G538" s="25" t="n">
        <f aca="false">G537+E538*IF(D538&gt;0,(IF(A538&gt;Penalty!$B$19,Penalty!$I$5,0)+G537)/D538,0)</f>
        <v>46.6815525507708</v>
      </c>
    </row>
    <row r="539" customFormat="false" ht="15" hidden="false" customHeight="false" outlineLevel="0" collapsed="false">
      <c r="A539" s="23" t="n">
        <f aca="false">Penalty!$B$5+535</f>
        <v>46662</v>
      </c>
      <c r="B539" s="24" t="n">
        <f aca="false">IF(YEAR(A539)&gt;2026,Penalty!$B$16/100,IFERROR(INDEX(Rates!$B$4:$E$15,MATCH(YEAR(A539),Rates!$A$4:$A$15,0),ROUNDUP(MONTH(A539)/3,0))/100,0.03))</f>
        <v>0.07</v>
      </c>
      <c r="C539" s="25" t="n">
        <f aca="false">MAX(0,Penalty!$B$4-SUMIFS(Penalty!$C$10:$C$12,Penalty!$B$10:$B$12,"&lt;"&amp;A539))</f>
        <v>12000</v>
      </c>
      <c r="D539" s="25" t="n">
        <f aca="false">IF(A539&lt;=Penalty!$B$8,C539+F538+IF(A539&gt;Penalty!$B$19,Penalty!$I$5,0)+G538,0)</f>
        <v>0</v>
      </c>
      <c r="E539" s="26" t="n">
        <f aca="false">D539*B539/365</f>
        <v>0</v>
      </c>
      <c r="F539" s="25" t="n">
        <f aca="false">F538+E539*(1-IF(D539&gt;0,(IF(A539&gt;Penalty!$B$19,Penalty!$I$5,0)+G538)/D539,0))</f>
        <v>345.789278153858</v>
      </c>
      <c r="G539" s="25" t="n">
        <f aca="false">G538+E539*IF(D539&gt;0,(IF(A539&gt;Penalty!$B$19,Penalty!$I$5,0)+G538)/D539,0)</f>
        <v>46.6815525507708</v>
      </c>
    </row>
    <row r="540" customFormat="false" ht="15" hidden="false" customHeight="false" outlineLevel="0" collapsed="false">
      <c r="A540" s="23" t="n">
        <f aca="false">Penalty!$B$5+536</f>
        <v>46663</v>
      </c>
      <c r="B540" s="24" t="n">
        <f aca="false">IF(YEAR(A540)&gt;2026,Penalty!$B$16/100,IFERROR(INDEX(Rates!$B$4:$E$15,MATCH(YEAR(A540),Rates!$A$4:$A$15,0),ROUNDUP(MONTH(A540)/3,0))/100,0.03))</f>
        <v>0.07</v>
      </c>
      <c r="C540" s="25" t="n">
        <f aca="false">MAX(0,Penalty!$B$4-SUMIFS(Penalty!$C$10:$C$12,Penalty!$B$10:$B$12,"&lt;"&amp;A540))</f>
        <v>12000</v>
      </c>
      <c r="D540" s="25" t="n">
        <f aca="false">IF(A540&lt;=Penalty!$B$8,C540+F539+IF(A540&gt;Penalty!$B$19,Penalty!$I$5,0)+G539,0)</f>
        <v>0</v>
      </c>
      <c r="E540" s="26" t="n">
        <f aca="false">D540*B540/365</f>
        <v>0</v>
      </c>
      <c r="F540" s="25" t="n">
        <f aca="false">F539+E540*(1-IF(D540&gt;0,(IF(A540&gt;Penalty!$B$19,Penalty!$I$5,0)+G539)/D540,0))</f>
        <v>345.789278153858</v>
      </c>
      <c r="G540" s="25" t="n">
        <f aca="false">G539+E540*IF(D540&gt;0,(IF(A540&gt;Penalty!$B$19,Penalty!$I$5,0)+G539)/D540,0)</f>
        <v>46.6815525507708</v>
      </c>
    </row>
    <row r="541" customFormat="false" ht="15" hidden="false" customHeight="false" outlineLevel="0" collapsed="false">
      <c r="A541" s="23" t="n">
        <f aca="false">Penalty!$B$5+537</f>
        <v>46664</v>
      </c>
      <c r="B541" s="24" t="n">
        <f aca="false">IF(YEAR(A541)&gt;2026,Penalty!$B$16/100,IFERROR(INDEX(Rates!$B$4:$E$15,MATCH(YEAR(A541),Rates!$A$4:$A$15,0),ROUNDUP(MONTH(A541)/3,0))/100,0.03))</f>
        <v>0.07</v>
      </c>
      <c r="C541" s="25" t="n">
        <f aca="false">MAX(0,Penalty!$B$4-SUMIFS(Penalty!$C$10:$C$12,Penalty!$B$10:$B$12,"&lt;"&amp;A541))</f>
        <v>12000</v>
      </c>
      <c r="D541" s="25" t="n">
        <f aca="false">IF(A541&lt;=Penalty!$B$8,C541+F540+IF(A541&gt;Penalty!$B$19,Penalty!$I$5,0)+G540,0)</f>
        <v>0</v>
      </c>
      <c r="E541" s="26" t="n">
        <f aca="false">D541*B541/365</f>
        <v>0</v>
      </c>
      <c r="F541" s="25" t="n">
        <f aca="false">F540+E541*(1-IF(D541&gt;0,(IF(A541&gt;Penalty!$B$19,Penalty!$I$5,0)+G540)/D541,0))</f>
        <v>345.789278153858</v>
      </c>
      <c r="G541" s="25" t="n">
        <f aca="false">G540+E541*IF(D541&gt;0,(IF(A541&gt;Penalty!$B$19,Penalty!$I$5,0)+G540)/D541,0)</f>
        <v>46.6815525507708</v>
      </c>
    </row>
    <row r="542" customFormat="false" ht="15" hidden="false" customHeight="false" outlineLevel="0" collapsed="false">
      <c r="A542" s="23" t="n">
        <f aca="false">Penalty!$B$5+538</f>
        <v>46665</v>
      </c>
      <c r="B542" s="24" t="n">
        <f aca="false">IF(YEAR(A542)&gt;2026,Penalty!$B$16/100,IFERROR(INDEX(Rates!$B$4:$E$15,MATCH(YEAR(A542),Rates!$A$4:$A$15,0),ROUNDUP(MONTH(A542)/3,0))/100,0.03))</f>
        <v>0.07</v>
      </c>
      <c r="C542" s="25" t="n">
        <f aca="false">MAX(0,Penalty!$B$4-SUMIFS(Penalty!$C$10:$C$12,Penalty!$B$10:$B$12,"&lt;"&amp;A542))</f>
        <v>12000</v>
      </c>
      <c r="D542" s="25" t="n">
        <f aca="false">IF(A542&lt;=Penalty!$B$8,C542+F541+IF(A542&gt;Penalty!$B$19,Penalty!$I$5,0)+G541,0)</f>
        <v>0</v>
      </c>
      <c r="E542" s="26" t="n">
        <f aca="false">D542*B542/365</f>
        <v>0</v>
      </c>
      <c r="F542" s="25" t="n">
        <f aca="false">F541+E542*(1-IF(D542&gt;0,(IF(A542&gt;Penalty!$B$19,Penalty!$I$5,0)+G541)/D542,0))</f>
        <v>345.789278153858</v>
      </c>
      <c r="G542" s="25" t="n">
        <f aca="false">G541+E542*IF(D542&gt;0,(IF(A542&gt;Penalty!$B$19,Penalty!$I$5,0)+G541)/D542,0)</f>
        <v>46.6815525507708</v>
      </c>
    </row>
    <row r="543" customFormat="false" ht="15" hidden="false" customHeight="false" outlineLevel="0" collapsed="false">
      <c r="A543" s="23" t="n">
        <f aca="false">Penalty!$B$5+539</f>
        <v>46666</v>
      </c>
      <c r="B543" s="24" t="n">
        <f aca="false">IF(YEAR(A543)&gt;2026,Penalty!$B$16/100,IFERROR(INDEX(Rates!$B$4:$E$15,MATCH(YEAR(A543),Rates!$A$4:$A$15,0),ROUNDUP(MONTH(A543)/3,0))/100,0.03))</f>
        <v>0.07</v>
      </c>
      <c r="C543" s="25" t="n">
        <f aca="false">MAX(0,Penalty!$B$4-SUMIFS(Penalty!$C$10:$C$12,Penalty!$B$10:$B$12,"&lt;"&amp;A543))</f>
        <v>12000</v>
      </c>
      <c r="D543" s="25" t="n">
        <f aca="false">IF(A543&lt;=Penalty!$B$8,C543+F542+IF(A543&gt;Penalty!$B$19,Penalty!$I$5,0)+G542,0)</f>
        <v>0</v>
      </c>
      <c r="E543" s="26" t="n">
        <f aca="false">D543*B543/365</f>
        <v>0</v>
      </c>
      <c r="F543" s="25" t="n">
        <f aca="false">F542+E543*(1-IF(D543&gt;0,(IF(A543&gt;Penalty!$B$19,Penalty!$I$5,0)+G542)/D543,0))</f>
        <v>345.789278153858</v>
      </c>
      <c r="G543" s="25" t="n">
        <f aca="false">G542+E543*IF(D543&gt;0,(IF(A543&gt;Penalty!$B$19,Penalty!$I$5,0)+G542)/D543,0)</f>
        <v>46.6815525507708</v>
      </c>
    </row>
    <row r="544" customFormat="false" ht="15" hidden="false" customHeight="false" outlineLevel="0" collapsed="false">
      <c r="A544" s="23" t="n">
        <f aca="false">Penalty!$B$5+540</f>
        <v>46667</v>
      </c>
      <c r="B544" s="24" t="n">
        <f aca="false">IF(YEAR(A544)&gt;2026,Penalty!$B$16/100,IFERROR(INDEX(Rates!$B$4:$E$15,MATCH(YEAR(A544),Rates!$A$4:$A$15,0),ROUNDUP(MONTH(A544)/3,0))/100,0.03))</f>
        <v>0.07</v>
      </c>
      <c r="C544" s="25" t="n">
        <f aca="false">MAX(0,Penalty!$B$4-SUMIFS(Penalty!$C$10:$C$12,Penalty!$B$10:$B$12,"&lt;"&amp;A544))</f>
        <v>12000</v>
      </c>
      <c r="D544" s="25" t="n">
        <f aca="false">IF(A544&lt;=Penalty!$B$8,C544+F543+IF(A544&gt;Penalty!$B$19,Penalty!$I$5,0)+G543,0)</f>
        <v>0</v>
      </c>
      <c r="E544" s="26" t="n">
        <f aca="false">D544*B544/365</f>
        <v>0</v>
      </c>
      <c r="F544" s="25" t="n">
        <f aca="false">F543+E544*(1-IF(D544&gt;0,(IF(A544&gt;Penalty!$B$19,Penalty!$I$5,0)+G543)/D544,0))</f>
        <v>345.789278153858</v>
      </c>
      <c r="G544" s="25" t="n">
        <f aca="false">G543+E544*IF(D544&gt;0,(IF(A544&gt;Penalty!$B$19,Penalty!$I$5,0)+G543)/D544,0)</f>
        <v>46.6815525507708</v>
      </c>
    </row>
    <row r="545" customFormat="false" ht="15" hidden="false" customHeight="false" outlineLevel="0" collapsed="false">
      <c r="A545" s="23" t="n">
        <f aca="false">Penalty!$B$5+541</f>
        <v>46668</v>
      </c>
      <c r="B545" s="24" t="n">
        <f aca="false">IF(YEAR(A545)&gt;2026,Penalty!$B$16/100,IFERROR(INDEX(Rates!$B$4:$E$15,MATCH(YEAR(A545),Rates!$A$4:$A$15,0),ROUNDUP(MONTH(A545)/3,0))/100,0.03))</f>
        <v>0.07</v>
      </c>
      <c r="C545" s="25" t="n">
        <f aca="false">MAX(0,Penalty!$B$4-SUMIFS(Penalty!$C$10:$C$12,Penalty!$B$10:$B$12,"&lt;"&amp;A545))</f>
        <v>12000</v>
      </c>
      <c r="D545" s="25" t="n">
        <f aca="false">IF(A545&lt;=Penalty!$B$8,C545+F544+IF(A545&gt;Penalty!$B$19,Penalty!$I$5,0)+G544,0)</f>
        <v>0</v>
      </c>
      <c r="E545" s="26" t="n">
        <f aca="false">D545*B545/365</f>
        <v>0</v>
      </c>
      <c r="F545" s="25" t="n">
        <f aca="false">F544+E545*(1-IF(D545&gt;0,(IF(A545&gt;Penalty!$B$19,Penalty!$I$5,0)+G544)/D545,0))</f>
        <v>345.789278153858</v>
      </c>
      <c r="G545" s="25" t="n">
        <f aca="false">G544+E545*IF(D545&gt;0,(IF(A545&gt;Penalty!$B$19,Penalty!$I$5,0)+G544)/D545,0)</f>
        <v>46.6815525507708</v>
      </c>
    </row>
    <row r="546" customFormat="false" ht="15" hidden="false" customHeight="false" outlineLevel="0" collapsed="false">
      <c r="A546" s="23" t="n">
        <f aca="false">Penalty!$B$5+542</f>
        <v>46669</v>
      </c>
      <c r="B546" s="24" t="n">
        <f aca="false">IF(YEAR(A546)&gt;2026,Penalty!$B$16/100,IFERROR(INDEX(Rates!$B$4:$E$15,MATCH(YEAR(A546),Rates!$A$4:$A$15,0),ROUNDUP(MONTH(A546)/3,0))/100,0.03))</f>
        <v>0.07</v>
      </c>
      <c r="C546" s="25" t="n">
        <f aca="false">MAX(0,Penalty!$B$4-SUMIFS(Penalty!$C$10:$C$12,Penalty!$B$10:$B$12,"&lt;"&amp;A546))</f>
        <v>12000</v>
      </c>
      <c r="D546" s="25" t="n">
        <f aca="false">IF(A546&lt;=Penalty!$B$8,C546+F545+IF(A546&gt;Penalty!$B$19,Penalty!$I$5,0)+G545,0)</f>
        <v>0</v>
      </c>
      <c r="E546" s="26" t="n">
        <f aca="false">D546*B546/365</f>
        <v>0</v>
      </c>
      <c r="F546" s="25" t="n">
        <f aca="false">F545+E546*(1-IF(D546&gt;0,(IF(A546&gt;Penalty!$B$19,Penalty!$I$5,0)+G545)/D546,0))</f>
        <v>345.789278153858</v>
      </c>
      <c r="G546" s="25" t="n">
        <f aca="false">G545+E546*IF(D546&gt;0,(IF(A546&gt;Penalty!$B$19,Penalty!$I$5,0)+G545)/D546,0)</f>
        <v>46.6815525507708</v>
      </c>
    </row>
    <row r="547" customFormat="false" ht="15" hidden="false" customHeight="false" outlineLevel="0" collapsed="false">
      <c r="A547" s="23" t="n">
        <f aca="false">Penalty!$B$5+543</f>
        <v>46670</v>
      </c>
      <c r="B547" s="24" t="n">
        <f aca="false">IF(YEAR(A547)&gt;2026,Penalty!$B$16/100,IFERROR(INDEX(Rates!$B$4:$E$15,MATCH(YEAR(A547),Rates!$A$4:$A$15,0),ROUNDUP(MONTH(A547)/3,0))/100,0.03))</f>
        <v>0.07</v>
      </c>
      <c r="C547" s="25" t="n">
        <f aca="false">MAX(0,Penalty!$B$4-SUMIFS(Penalty!$C$10:$C$12,Penalty!$B$10:$B$12,"&lt;"&amp;A547))</f>
        <v>12000</v>
      </c>
      <c r="D547" s="25" t="n">
        <f aca="false">IF(A547&lt;=Penalty!$B$8,C547+F546+IF(A547&gt;Penalty!$B$19,Penalty!$I$5,0)+G546,0)</f>
        <v>0</v>
      </c>
      <c r="E547" s="26" t="n">
        <f aca="false">D547*B547/365</f>
        <v>0</v>
      </c>
      <c r="F547" s="25" t="n">
        <f aca="false">F546+E547*(1-IF(D547&gt;0,(IF(A547&gt;Penalty!$B$19,Penalty!$I$5,0)+G546)/D547,0))</f>
        <v>345.789278153858</v>
      </c>
      <c r="G547" s="25" t="n">
        <f aca="false">G546+E547*IF(D547&gt;0,(IF(A547&gt;Penalty!$B$19,Penalty!$I$5,0)+G546)/D547,0)</f>
        <v>46.6815525507708</v>
      </c>
    </row>
    <row r="548" customFormat="false" ht="15" hidden="false" customHeight="false" outlineLevel="0" collapsed="false">
      <c r="A548" s="23" t="n">
        <f aca="false">Penalty!$B$5+544</f>
        <v>46671</v>
      </c>
      <c r="B548" s="24" t="n">
        <f aca="false">IF(YEAR(A548)&gt;2026,Penalty!$B$16/100,IFERROR(INDEX(Rates!$B$4:$E$15,MATCH(YEAR(A548),Rates!$A$4:$A$15,0),ROUNDUP(MONTH(A548)/3,0))/100,0.03))</f>
        <v>0.07</v>
      </c>
      <c r="C548" s="25" t="n">
        <f aca="false">MAX(0,Penalty!$B$4-SUMIFS(Penalty!$C$10:$C$12,Penalty!$B$10:$B$12,"&lt;"&amp;A548))</f>
        <v>12000</v>
      </c>
      <c r="D548" s="25" t="n">
        <f aca="false">IF(A548&lt;=Penalty!$B$8,C548+F547+IF(A548&gt;Penalty!$B$19,Penalty!$I$5,0)+G547,0)</f>
        <v>0</v>
      </c>
      <c r="E548" s="26" t="n">
        <f aca="false">D548*B548/365</f>
        <v>0</v>
      </c>
      <c r="F548" s="25" t="n">
        <f aca="false">F547+E548*(1-IF(D548&gt;0,(IF(A548&gt;Penalty!$B$19,Penalty!$I$5,0)+G547)/D548,0))</f>
        <v>345.789278153858</v>
      </c>
      <c r="G548" s="25" t="n">
        <f aca="false">G547+E548*IF(D548&gt;0,(IF(A548&gt;Penalty!$B$19,Penalty!$I$5,0)+G547)/D548,0)</f>
        <v>46.6815525507708</v>
      </c>
    </row>
    <row r="549" customFormat="false" ht="15" hidden="false" customHeight="false" outlineLevel="0" collapsed="false">
      <c r="A549" s="23" t="n">
        <f aca="false">Penalty!$B$5+545</f>
        <v>46672</v>
      </c>
      <c r="B549" s="24" t="n">
        <f aca="false">IF(YEAR(A549)&gt;2026,Penalty!$B$16/100,IFERROR(INDEX(Rates!$B$4:$E$15,MATCH(YEAR(A549),Rates!$A$4:$A$15,0),ROUNDUP(MONTH(A549)/3,0))/100,0.03))</f>
        <v>0.07</v>
      </c>
      <c r="C549" s="25" t="n">
        <f aca="false">MAX(0,Penalty!$B$4-SUMIFS(Penalty!$C$10:$C$12,Penalty!$B$10:$B$12,"&lt;"&amp;A549))</f>
        <v>12000</v>
      </c>
      <c r="D549" s="25" t="n">
        <f aca="false">IF(A549&lt;=Penalty!$B$8,C549+F548+IF(A549&gt;Penalty!$B$19,Penalty!$I$5,0)+G548,0)</f>
        <v>0</v>
      </c>
      <c r="E549" s="26" t="n">
        <f aca="false">D549*B549/365</f>
        <v>0</v>
      </c>
      <c r="F549" s="25" t="n">
        <f aca="false">F548+E549*(1-IF(D549&gt;0,(IF(A549&gt;Penalty!$B$19,Penalty!$I$5,0)+G548)/D549,0))</f>
        <v>345.789278153858</v>
      </c>
      <c r="G549" s="25" t="n">
        <f aca="false">G548+E549*IF(D549&gt;0,(IF(A549&gt;Penalty!$B$19,Penalty!$I$5,0)+G548)/D549,0)</f>
        <v>46.6815525507708</v>
      </c>
    </row>
    <row r="550" customFormat="false" ht="15" hidden="false" customHeight="false" outlineLevel="0" collapsed="false">
      <c r="A550" s="23" t="n">
        <f aca="false">Penalty!$B$5+546</f>
        <v>46673</v>
      </c>
      <c r="B550" s="24" t="n">
        <f aca="false">IF(YEAR(A550)&gt;2026,Penalty!$B$16/100,IFERROR(INDEX(Rates!$B$4:$E$15,MATCH(YEAR(A550),Rates!$A$4:$A$15,0),ROUNDUP(MONTH(A550)/3,0))/100,0.03))</f>
        <v>0.07</v>
      </c>
      <c r="C550" s="25" t="n">
        <f aca="false">MAX(0,Penalty!$B$4-SUMIFS(Penalty!$C$10:$C$12,Penalty!$B$10:$B$12,"&lt;"&amp;A550))</f>
        <v>12000</v>
      </c>
      <c r="D550" s="25" t="n">
        <f aca="false">IF(A550&lt;=Penalty!$B$8,C550+F549+IF(A550&gt;Penalty!$B$19,Penalty!$I$5,0)+G549,0)</f>
        <v>0</v>
      </c>
      <c r="E550" s="26" t="n">
        <f aca="false">D550*B550/365</f>
        <v>0</v>
      </c>
      <c r="F550" s="25" t="n">
        <f aca="false">F549+E550*(1-IF(D550&gt;0,(IF(A550&gt;Penalty!$B$19,Penalty!$I$5,0)+G549)/D550,0))</f>
        <v>345.789278153858</v>
      </c>
      <c r="G550" s="25" t="n">
        <f aca="false">G549+E550*IF(D550&gt;0,(IF(A550&gt;Penalty!$B$19,Penalty!$I$5,0)+G549)/D550,0)</f>
        <v>46.6815525507708</v>
      </c>
    </row>
    <row r="551" customFormat="false" ht="15" hidden="false" customHeight="false" outlineLevel="0" collapsed="false">
      <c r="A551" s="23" t="n">
        <f aca="false">Penalty!$B$5+547</f>
        <v>46674</v>
      </c>
      <c r="B551" s="24" t="n">
        <f aca="false">IF(YEAR(A551)&gt;2026,Penalty!$B$16/100,IFERROR(INDEX(Rates!$B$4:$E$15,MATCH(YEAR(A551),Rates!$A$4:$A$15,0),ROUNDUP(MONTH(A551)/3,0))/100,0.03))</f>
        <v>0.07</v>
      </c>
      <c r="C551" s="25" t="n">
        <f aca="false">MAX(0,Penalty!$B$4-SUMIFS(Penalty!$C$10:$C$12,Penalty!$B$10:$B$12,"&lt;"&amp;A551))</f>
        <v>12000</v>
      </c>
      <c r="D551" s="25" t="n">
        <f aca="false">IF(A551&lt;=Penalty!$B$8,C551+F550+IF(A551&gt;Penalty!$B$19,Penalty!$I$5,0)+G550,0)</f>
        <v>0</v>
      </c>
      <c r="E551" s="26" t="n">
        <f aca="false">D551*B551/365</f>
        <v>0</v>
      </c>
      <c r="F551" s="25" t="n">
        <f aca="false">F550+E551*(1-IF(D551&gt;0,(IF(A551&gt;Penalty!$B$19,Penalty!$I$5,0)+G550)/D551,0))</f>
        <v>345.789278153858</v>
      </c>
      <c r="G551" s="25" t="n">
        <f aca="false">G550+E551*IF(D551&gt;0,(IF(A551&gt;Penalty!$B$19,Penalty!$I$5,0)+G550)/D551,0)</f>
        <v>46.6815525507708</v>
      </c>
    </row>
    <row r="552" customFormat="false" ht="15" hidden="false" customHeight="false" outlineLevel="0" collapsed="false">
      <c r="A552" s="23" t="n">
        <f aca="false">Penalty!$B$5+548</f>
        <v>46675</v>
      </c>
      <c r="B552" s="24" t="n">
        <f aca="false">IF(YEAR(A552)&gt;2026,Penalty!$B$16/100,IFERROR(INDEX(Rates!$B$4:$E$15,MATCH(YEAR(A552),Rates!$A$4:$A$15,0),ROUNDUP(MONTH(A552)/3,0))/100,0.03))</f>
        <v>0.07</v>
      </c>
      <c r="C552" s="25" t="n">
        <f aca="false">MAX(0,Penalty!$B$4-SUMIFS(Penalty!$C$10:$C$12,Penalty!$B$10:$B$12,"&lt;"&amp;A552))</f>
        <v>12000</v>
      </c>
      <c r="D552" s="25" t="n">
        <f aca="false">IF(A552&lt;=Penalty!$B$8,C552+F551+IF(A552&gt;Penalty!$B$19,Penalty!$I$5,0)+G551,0)</f>
        <v>0</v>
      </c>
      <c r="E552" s="26" t="n">
        <f aca="false">D552*B552/365</f>
        <v>0</v>
      </c>
      <c r="F552" s="25" t="n">
        <f aca="false">F551+E552*(1-IF(D552&gt;0,(IF(A552&gt;Penalty!$B$19,Penalty!$I$5,0)+G551)/D552,0))</f>
        <v>345.789278153858</v>
      </c>
      <c r="G552" s="25" t="n">
        <f aca="false">G551+E552*IF(D552&gt;0,(IF(A552&gt;Penalty!$B$19,Penalty!$I$5,0)+G551)/D552,0)</f>
        <v>46.6815525507708</v>
      </c>
    </row>
    <row r="553" customFormat="false" ht="15" hidden="false" customHeight="false" outlineLevel="0" collapsed="false">
      <c r="A553" s="23" t="n">
        <f aca="false">Penalty!$B$5+549</f>
        <v>46676</v>
      </c>
      <c r="B553" s="24" t="n">
        <f aca="false">IF(YEAR(A553)&gt;2026,Penalty!$B$16/100,IFERROR(INDEX(Rates!$B$4:$E$15,MATCH(YEAR(A553),Rates!$A$4:$A$15,0),ROUNDUP(MONTH(A553)/3,0))/100,0.03))</f>
        <v>0.07</v>
      </c>
      <c r="C553" s="25" t="n">
        <f aca="false">MAX(0,Penalty!$B$4-SUMIFS(Penalty!$C$10:$C$12,Penalty!$B$10:$B$12,"&lt;"&amp;A553))</f>
        <v>12000</v>
      </c>
      <c r="D553" s="25" t="n">
        <f aca="false">IF(A553&lt;=Penalty!$B$8,C553+F552+IF(A553&gt;Penalty!$B$19,Penalty!$I$5,0)+G552,0)</f>
        <v>0</v>
      </c>
      <c r="E553" s="26" t="n">
        <f aca="false">D553*B553/365</f>
        <v>0</v>
      </c>
      <c r="F553" s="25" t="n">
        <f aca="false">F552+E553*(1-IF(D553&gt;0,(IF(A553&gt;Penalty!$B$19,Penalty!$I$5,0)+G552)/D553,0))</f>
        <v>345.789278153858</v>
      </c>
      <c r="G553" s="25" t="n">
        <f aca="false">G552+E553*IF(D553&gt;0,(IF(A553&gt;Penalty!$B$19,Penalty!$I$5,0)+G552)/D553,0)</f>
        <v>46.6815525507708</v>
      </c>
    </row>
    <row r="554" customFormat="false" ht="15" hidden="false" customHeight="false" outlineLevel="0" collapsed="false">
      <c r="A554" s="23" t="n">
        <f aca="false">Penalty!$B$5+550</f>
        <v>46677</v>
      </c>
      <c r="B554" s="24" t="n">
        <f aca="false">IF(YEAR(A554)&gt;2026,Penalty!$B$16/100,IFERROR(INDEX(Rates!$B$4:$E$15,MATCH(YEAR(A554),Rates!$A$4:$A$15,0),ROUNDUP(MONTH(A554)/3,0))/100,0.03))</f>
        <v>0.07</v>
      </c>
      <c r="C554" s="25" t="n">
        <f aca="false">MAX(0,Penalty!$B$4-SUMIFS(Penalty!$C$10:$C$12,Penalty!$B$10:$B$12,"&lt;"&amp;A554))</f>
        <v>12000</v>
      </c>
      <c r="D554" s="25" t="n">
        <f aca="false">IF(A554&lt;=Penalty!$B$8,C554+F553+IF(A554&gt;Penalty!$B$19,Penalty!$I$5,0)+G553,0)</f>
        <v>0</v>
      </c>
      <c r="E554" s="26" t="n">
        <f aca="false">D554*B554/365</f>
        <v>0</v>
      </c>
      <c r="F554" s="25" t="n">
        <f aca="false">F553+E554*(1-IF(D554&gt;0,(IF(A554&gt;Penalty!$B$19,Penalty!$I$5,0)+G553)/D554,0))</f>
        <v>345.789278153858</v>
      </c>
      <c r="G554" s="25" t="n">
        <f aca="false">G553+E554*IF(D554&gt;0,(IF(A554&gt;Penalty!$B$19,Penalty!$I$5,0)+G553)/D554,0)</f>
        <v>46.6815525507708</v>
      </c>
    </row>
    <row r="555" customFormat="false" ht="15" hidden="false" customHeight="false" outlineLevel="0" collapsed="false">
      <c r="A555" s="23" t="n">
        <f aca="false">Penalty!$B$5+551</f>
        <v>46678</v>
      </c>
      <c r="B555" s="24" t="n">
        <f aca="false">IF(YEAR(A555)&gt;2026,Penalty!$B$16/100,IFERROR(INDEX(Rates!$B$4:$E$15,MATCH(YEAR(A555),Rates!$A$4:$A$15,0),ROUNDUP(MONTH(A555)/3,0))/100,0.03))</f>
        <v>0.07</v>
      </c>
      <c r="C555" s="25" t="n">
        <f aca="false">MAX(0,Penalty!$B$4-SUMIFS(Penalty!$C$10:$C$12,Penalty!$B$10:$B$12,"&lt;"&amp;A555))</f>
        <v>12000</v>
      </c>
      <c r="D555" s="25" t="n">
        <f aca="false">IF(A555&lt;=Penalty!$B$8,C555+F554+IF(A555&gt;Penalty!$B$19,Penalty!$I$5,0)+G554,0)</f>
        <v>0</v>
      </c>
      <c r="E555" s="26" t="n">
        <f aca="false">D555*B555/365</f>
        <v>0</v>
      </c>
      <c r="F555" s="25" t="n">
        <f aca="false">F554+E555*(1-IF(D555&gt;0,(IF(A555&gt;Penalty!$B$19,Penalty!$I$5,0)+G554)/D555,0))</f>
        <v>345.789278153858</v>
      </c>
      <c r="G555" s="25" t="n">
        <f aca="false">G554+E555*IF(D555&gt;0,(IF(A555&gt;Penalty!$B$19,Penalty!$I$5,0)+G554)/D555,0)</f>
        <v>46.6815525507708</v>
      </c>
    </row>
    <row r="556" customFormat="false" ht="15" hidden="false" customHeight="false" outlineLevel="0" collapsed="false">
      <c r="A556" s="23" t="n">
        <f aca="false">Penalty!$B$5+552</f>
        <v>46679</v>
      </c>
      <c r="B556" s="24" t="n">
        <f aca="false">IF(YEAR(A556)&gt;2026,Penalty!$B$16/100,IFERROR(INDEX(Rates!$B$4:$E$15,MATCH(YEAR(A556),Rates!$A$4:$A$15,0),ROUNDUP(MONTH(A556)/3,0))/100,0.03))</f>
        <v>0.07</v>
      </c>
      <c r="C556" s="25" t="n">
        <f aca="false">MAX(0,Penalty!$B$4-SUMIFS(Penalty!$C$10:$C$12,Penalty!$B$10:$B$12,"&lt;"&amp;A556))</f>
        <v>12000</v>
      </c>
      <c r="D556" s="25" t="n">
        <f aca="false">IF(A556&lt;=Penalty!$B$8,C556+F555+IF(A556&gt;Penalty!$B$19,Penalty!$I$5,0)+G555,0)</f>
        <v>0</v>
      </c>
      <c r="E556" s="26" t="n">
        <f aca="false">D556*B556/365</f>
        <v>0</v>
      </c>
      <c r="F556" s="25" t="n">
        <f aca="false">F555+E556*(1-IF(D556&gt;0,(IF(A556&gt;Penalty!$B$19,Penalty!$I$5,0)+G555)/D556,0))</f>
        <v>345.789278153858</v>
      </c>
      <c r="G556" s="25" t="n">
        <f aca="false">G555+E556*IF(D556&gt;0,(IF(A556&gt;Penalty!$B$19,Penalty!$I$5,0)+G555)/D556,0)</f>
        <v>46.6815525507708</v>
      </c>
    </row>
    <row r="557" customFormat="false" ht="15" hidden="false" customHeight="false" outlineLevel="0" collapsed="false">
      <c r="A557" s="23" t="n">
        <f aca="false">Penalty!$B$5+553</f>
        <v>46680</v>
      </c>
      <c r="B557" s="24" t="n">
        <f aca="false">IF(YEAR(A557)&gt;2026,Penalty!$B$16/100,IFERROR(INDEX(Rates!$B$4:$E$15,MATCH(YEAR(A557),Rates!$A$4:$A$15,0),ROUNDUP(MONTH(A557)/3,0))/100,0.03))</f>
        <v>0.07</v>
      </c>
      <c r="C557" s="25" t="n">
        <f aca="false">MAX(0,Penalty!$B$4-SUMIFS(Penalty!$C$10:$C$12,Penalty!$B$10:$B$12,"&lt;"&amp;A557))</f>
        <v>12000</v>
      </c>
      <c r="D557" s="25" t="n">
        <f aca="false">IF(A557&lt;=Penalty!$B$8,C557+F556+IF(A557&gt;Penalty!$B$19,Penalty!$I$5,0)+G556,0)</f>
        <v>0</v>
      </c>
      <c r="E557" s="26" t="n">
        <f aca="false">D557*B557/365</f>
        <v>0</v>
      </c>
      <c r="F557" s="25" t="n">
        <f aca="false">F556+E557*(1-IF(D557&gt;0,(IF(A557&gt;Penalty!$B$19,Penalty!$I$5,0)+G556)/D557,0))</f>
        <v>345.789278153858</v>
      </c>
      <c r="G557" s="25" t="n">
        <f aca="false">G556+E557*IF(D557&gt;0,(IF(A557&gt;Penalty!$B$19,Penalty!$I$5,0)+G556)/D557,0)</f>
        <v>46.6815525507708</v>
      </c>
    </row>
    <row r="558" customFormat="false" ht="15" hidden="false" customHeight="false" outlineLevel="0" collapsed="false">
      <c r="A558" s="23" t="n">
        <f aca="false">Penalty!$B$5+554</f>
        <v>46681</v>
      </c>
      <c r="B558" s="24" t="n">
        <f aca="false">IF(YEAR(A558)&gt;2026,Penalty!$B$16/100,IFERROR(INDEX(Rates!$B$4:$E$15,MATCH(YEAR(A558),Rates!$A$4:$A$15,0),ROUNDUP(MONTH(A558)/3,0))/100,0.03))</f>
        <v>0.07</v>
      </c>
      <c r="C558" s="25" t="n">
        <f aca="false">MAX(0,Penalty!$B$4-SUMIFS(Penalty!$C$10:$C$12,Penalty!$B$10:$B$12,"&lt;"&amp;A558))</f>
        <v>12000</v>
      </c>
      <c r="D558" s="25" t="n">
        <f aca="false">IF(A558&lt;=Penalty!$B$8,C558+F557+IF(A558&gt;Penalty!$B$19,Penalty!$I$5,0)+G557,0)</f>
        <v>0</v>
      </c>
      <c r="E558" s="26" t="n">
        <f aca="false">D558*B558/365</f>
        <v>0</v>
      </c>
      <c r="F558" s="25" t="n">
        <f aca="false">F557+E558*(1-IF(D558&gt;0,(IF(A558&gt;Penalty!$B$19,Penalty!$I$5,0)+G557)/D558,0))</f>
        <v>345.789278153858</v>
      </c>
      <c r="G558" s="25" t="n">
        <f aca="false">G557+E558*IF(D558&gt;0,(IF(A558&gt;Penalty!$B$19,Penalty!$I$5,0)+G557)/D558,0)</f>
        <v>46.6815525507708</v>
      </c>
    </row>
    <row r="559" customFormat="false" ht="15" hidden="false" customHeight="false" outlineLevel="0" collapsed="false">
      <c r="A559" s="23" t="n">
        <f aca="false">Penalty!$B$5+555</f>
        <v>46682</v>
      </c>
      <c r="B559" s="24" t="n">
        <f aca="false">IF(YEAR(A559)&gt;2026,Penalty!$B$16/100,IFERROR(INDEX(Rates!$B$4:$E$15,MATCH(YEAR(A559),Rates!$A$4:$A$15,0),ROUNDUP(MONTH(A559)/3,0))/100,0.03))</f>
        <v>0.07</v>
      </c>
      <c r="C559" s="25" t="n">
        <f aca="false">MAX(0,Penalty!$B$4-SUMIFS(Penalty!$C$10:$C$12,Penalty!$B$10:$B$12,"&lt;"&amp;A559))</f>
        <v>12000</v>
      </c>
      <c r="D559" s="25" t="n">
        <f aca="false">IF(A559&lt;=Penalty!$B$8,C559+F558+IF(A559&gt;Penalty!$B$19,Penalty!$I$5,0)+G558,0)</f>
        <v>0</v>
      </c>
      <c r="E559" s="26" t="n">
        <f aca="false">D559*B559/365</f>
        <v>0</v>
      </c>
      <c r="F559" s="25" t="n">
        <f aca="false">F558+E559*(1-IF(D559&gt;0,(IF(A559&gt;Penalty!$B$19,Penalty!$I$5,0)+G558)/D559,0))</f>
        <v>345.789278153858</v>
      </c>
      <c r="G559" s="25" t="n">
        <f aca="false">G558+E559*IF(D559&gt;0,(IF(A559&gt;Penalty!$B$19,Penalty!$I$5,0)+G558)/D559,0)</f>
        <v>46.6815525507708</v>
      </c>
    </row>
    <row r="560" customFormat="false" ht="15" hidden="false" customHeight="false" outlineLevel="0" collapsed="false">
      <c r="A560" s="23" t="n">
        <f aca="false">Penalty!$B$5+556</f>
        <v>46683</v>
      </c>
      <c r="B560" s="24" t="n">
        <f aca="false">IF(YEAR(A560)&gt;2026,Penalty!$B$16/100,IFERROR(INDEX(Rates!$B$4:$E$15,MATCH(YEAR(A560),Rates!$A$4:$A$15,0),ROUNDUP(MONTH(A560)/3,0))/100,0.03))</f>
        <v>0.07</v>
      </c>
      <c r="C560" s="25" t="n">
        <f aca="false">MAX(0,Penalty!$B$4-SUMIFS(Penalty!$C$10:$C$12,Penalty!$B$10:$B$12,"&lt;"&amp;A560))</f>
        <v>12000</v>
      </c>
      <c r="D560" s="25" t="n">
        <f aca="false">IF(A560&lt;=Penalty!$B$8,C560+F559+IF(A560&gt;Penalty!$B$19,Penalty!$I$5,0)+G559,0)</f>
        <v>0</v>
      </c>
      <c r="E560" s="26" t="n">
        <f aca="false">D560*B560/365</f>
        <v>0</v>
      </c>
      <c r="F560" s="25" t="n">
        <f aca="false">F559+E560*(1-IF(D560&gt;0,(IF(A560&gt;Penalty!$B$19,Penalty!$I$5,0)+G559)/D560,0))</f>
        <v>345.789278153858</v>
      </c>
      <c r="G560" s="25" t="n">
        <f aca="false">G559+E560*IF(D560&gt;0,(IF(A560&gt;Penalty!$B$19,Penalty!$I$5,0)+G559)/D560,0)</f>
        <v>46.6815525507708</v>
      </c>
    </row>
    <row r="561" customFormat="false" ht="15" hidden="false" customHeight="false" outlineLevel="0" collapsed="false">
      <c r="A561" s="23" t="n">
        <f aca="false">Penalty!$B$5+557</f>
        <v>46684</v>
      </c>
      <c r="B561" s="24" t="n">
        <f aca="false">IF(YEAR(A561)&gt;2026,Penalty!$B$16/100,IFERROR(INDEX(Rates!$B$4:$E$15,MATCH(YEAR(A561),Rates!$A$4:$A$15,0),ROUNDUP(MONTH(A561)/3,0))/100,0.03))</f>
        <v>0.07</v>
      </c>
      <c r="C561" s="25" t="n">
        <f aca="false">MAX(0,Penalty!$B$4-SUMIFS(Penalty!$C$10:$C$12,Penalty!$B$10:$B$12,"&lt;"&amp;A561))</f>
        <v>12000</v>
      </c>
      <c r="D561" s="25" t="n">
        <f aca="false">IF(A561&lt;=Penalty!$B$8,C561+F560+IF(A561&gt;Penalty!$B$19,Penalty!$I$5,0)+G560,0)</f>
        <v>0</v>
      </c>
      <c r="E561" s="26" t="n">
        <f aca="false">D561*B561/365</f>
        <v>0</v>
      </c>
      <c r="F561" s="25" t="n">
        <f aca="false">F560+E561*(1-IF(D561&gt;0,(IF(A561&gt;Penalty!$B$19,Penalty!$I$5,0)+G560)/D561,0))</f>
        <v>345.789278153858</v>
      </c>
      <c r="G561" s="25" t="n">
        <f aca="false">G560+E561*IF(D561&gt;0,(IF(A561&gt;Penalty!$B$19,Penalty!$I$5,0)+G560)/D561,0)</f>
        <v>46.6815525507708</v>
      </c>
    </row>
    <row r="562" customFormat="false" ht="15" hidden="false" customHeight="false" outlineLevel="0" collapsed="false">
      <c r="A562" s="23" t="n">
        <f aca="false">Penalty!$B$5+558</f>
        <v>46685</v>
      </c>
      <c r="B562" s="24" t="n">
        <f aca="false">IF(YEAR(A562)&gt;2026,Penalty!$B$16/100,IFERROR(INDEX(Rates!$B$4:$E$15,MATCH(YEAR(A562),Rates!$A$4:$A$15,0),ROUNDUP(MONTH(A562)/3,0))/100,0.03))</f>
        <v>0.07</v>
      </c>
      <c r="C562" s="25" t="n">
        <f aca="false">MAX(0,Penalty!$B$4-SUMIFS(Penalty!$C$10:$C$12,Penalty!$B$10:$B$12,"&lt;"&amp;A562))</f>
        <v>12000</v>
      </c>
      <c r="D562" s="25" t="n">
        <f aca="false">IF(A562&lt;=Penalty!$B$8,C562+F561+IF(A562&gt;Penalty!$B$19,Penalty!$I$5,0)+G561,0)</f>
        <v>0</v>
      </c>
      <c r="E562" s="26" t="n">
        <f aca="false">D562*B562/365</f>
        <v>0</v>
      </c>
      <c r="F562" s="25" t="n">
        <f aca="false">F561+E562*(1-IF(D562&gt;0,(IF(A562&gt;Penalty!$B$19,Penalty!$I$5,0)+G561)/D562,0))</f>
        <v>345.789278153858</v>
      </c>
      <c r="G562" s="25" t="n">
        <f aca="false">G561+E562*IF(D562&gt;0,(IF(A562&gt;Penalty!$B$19,Penalty!$I$5,0)+G561)/D562,0)</f>
        <v>46.6815525507708</v>
      </c>
    </row>
    <row r="563" customFormat="false" ht="15" hidden="false" customHeight="false" outlineLevel="0" collapsed="false">
      <c r="A563" s="23" t="n">
        <f aca="false">Penalty!$B$5+559</f>
        <v>46686</v>
      </c>
      <c r="B563" s="24" t="n">
        <f aca="false">IF(YEAR(A563)&gt;2026,Penalty!$B$16/100,IFERROR(INDEX(Rates!$B$4:$E$15,MATCH(YEAR(A563),Rates!$A$4:$A$15,0),ROUNDUP(MONTH(A563)/3,0))/100,0.03))</f>
        <v>0.07</v>
      </c>
      <c r="C563" s="25" t="n">
        <f aca="false">MAX(0,Penalty!$B$4-SUMIFS(Penalty!$C$10:$C$12,Penalty!$B$10:$B$12,"&lt;"&amp;A563))</f>
        <v>12000</v>
      </c>
      <c r="D563" s="25" t="n">
        <f aca="false">IF(A563&lt;=Penalty!$B$8,C563+F562+IF(A563&gt;Penalty!$B$19,Penalty!$I$5,0)+G562,0)</f>
        <v>0</v>
      </c>
      <c r="E563" s="26" t="n">
        <f aca="false">D563*B563/365</f>
        <v>0</v>
      </c>
      <c r="F563" s="25" t="n">
        <f aca="false">F562+E563*(1-IF(D563&gt;0,(IF(A563&gt;Penalty!$B$19,Penalty!$I$5,0)+G562)/D563,0))</f>
        <v>345.789278153858</v>
      </c>
      <c r="G563" s="25" t="n">
        <f aca="false">G562+E563*IF(D563&gt;0,(IF(A563&gt;Penalty!$B$19,Penalty!$I$5,0)+G562)/D563,0)</f>
        <v>46.6815525507708</v>
      </c>
    </row>
    <row r="564" customFormat="false" ht="15" hidden="false" customHeight="false" outlineLevel="0" collapsed="false">
      <c r="A564" s="23" t="n">
        <f aca="false">Penalty!$B$5+560</f>
        <v>46687</v>
      </c>
      <c r="B564" s="24" t="n">
        <f aca="false">IF(YEAR(A564)&gt;2026,Penalty!$B$16/100,IFERROR(INDEX(Rates!$B$4:$E$15,MATCH(YEAR(A564),Rates!$A$4:$A$15,0),ROUNDUP(MONTH(A564)/3,0))/100,0.03))</f>
        <v>0.07</v>
      </c>
      <c r="C564" s="25" t="n">
        <f aca="false">MAX(0,Penalty!$B$4-SUMIFS(Penalty!$C$10:$C$12,Penalty!$B$10:$B$12,"&lt;"&amp;A564))</f>
        <v>12000</v>
      </c>
      <c r="D564" s="25" t="n">
        <f aca="false">IF(A564&lt;=Penalty!$B$8,C564+F563+IF(A564&gt;Penalty!$B$19,Penalty!$I$5,0)+G563,0)</f>
        <v>0</v>
      </c>
      <c r="E564" s="26" t="n">
        <f aca="false">D564*B564/365</f>
        <v>0</v>
      </c>
      <c r="F564" s="25" t="n">
        <f aca="false">F563+E564*(1-IF(D564&gt;0,(IF(A564&gt;Penalty!$B$19,Penalty!$I$5,0)+G563)/D564,0))</f>
        <v>345.789278153858</v>
      </c>
      <c r="G564" s="25" t="n">
        <f aca="false">G563+E564*IF(D564&gt;0,(IF(A564&gt;Penalty!$B$19,Penalty!$I$5,0)+G563)/D564,0)</f>
        <v>46.6815525507708</v>
      </c>
    </row>
    <row r="565" customFormat="false" ht="15" hidden="false" customHeight="false" outlineLevel="0" collapsed="false">
      <c r="A565" s="23" t="n">
        <f aca="false">Penalty!$B$5+561</f>
        <v>46688</v>
      </c>
      <c r="B565" s="24" t="n">
        <f aca="false">IF(YEAR(A565)&gt;2026,Penalty!$B$16/100,IFERROR(INDEX(Rates!$B$4:$E$15,MATCH(YEAR(A565),Rates!$A$4:$A$15,0),ROUNDUP(MONTH(A565)/3,0))/100,0.03))</f>
        <v>0.07</v>
      </c>
      <c r="C565" s="25" t="n">
        <f aca="false">MAX(0,Penalty!$B$4-SUMIFS(Penalty!$C$10:$C$12,Penalty!$B$10:$B$12,"&lt;"&amp;A565))</f>
        <v>12000</v>
      </c>
      <c r="D565" s="25" t="n">
        <f aca="false">IF(A565&lt;=Penalty!$B$8,C565+F564+IF(A565&gt;Penalty!$B$19,Penalty!$I$5,0)+G564,0)</f>
        <v>0</v>
      </c>
      <c r="E565" s="26" t="n">
        <f aca="false">D565*B565/365</f>
        <v>0</v>
      </c>
      <c r="F565" s="25" t="n">
        <f aca="false">F564+E565*(1-IF(D565&gt;0,(IF(A565&gt;Penalty!$B$19,Penalty!$I$5,0)+G564)/D565,0))</f>
        <v>345.789278153858</v>
      </c>
      <c r="G565" s="25" t="n">
        <f aca="false">G564+E565*IF(D565&gt;0,(IF(A565&gt;Penalty!$B$19,Penalty!$I$5,0)+G564)/D565,0)</f>
        <v>46.6815525507708</v>
      </c>
    </row>
    <row r="566" customFormat="false" ht="15" hidden="false" customHeight="false" outlineLevel="0" collapsed="false">
      <c r="A566" s="23" t="n">
        <f aca="false">Penalty!$B$5+562</f>
        <v>46689</v>
      </c>
      <c r="B566" s="24" t="n">
        <f aca="false">IF(YEAR(A566)&gt;2026,Penalty!$B$16/100,IFERROR(INDEX(Rates!$B$4:$E$15,MATCH(YEAR(A566),Rates!$A$4:$A$15,0),ROUNDUP(MONTH(A566)/3,0))/100,0.03))</f>
        <v>0.07</v>
      </c>
      <c r="C566" s="25" t="n">
        <f aca="false">MAX(0,Penalty!$B$4-SUMIFS(Penalty!$C$10:$C$12,Penalty!$B$10:$B$12,"&lt;"&amp;A566))</f>
        <v>12000</v>
      </c>
      <c r="D566" s="25" t="n">
        <f aca="false">IF(A566&lt;=Penalty!$B$8,C566+F565+IF(A566&gt;Penalty!$B$19,Penalty!$I$5,0)+G565,0)</f>
        <v>0</v>
      </c>
      <c r="E566" s="26" t="n">
        <f aca="false">D566*B566/365</f>
        <v>0</v>
      </c>
      <c r="F566" s="25" t="n">
        <f aca="false">F565+E566*(1-IF(D566&gt;0,(IF(A566&gt;Penalty!$B$19,Penalty!$I$5,0)+G565)/D566,0))</f>
        <v>345.789278153858</v>
      </c>
      <c r="G566" s="25" t="n">
        <f aca="false">G565+E566*IF(D566&gt;0,(IF(A566&gt;Penalty!$B$19,Penalty!$I$5,0)+G565)/D566,0)</f>
        <v>46.6815525507708</v>
      </c>
    </row>
    <row r="567" customFormat="false" ht="15" hidden="false" customHeight="false" outlineLevel="0" collapsed="false">
      <c r="A567" s="23" t="n">
        <f aca="false">Penalty!$B$5+563</f>
        <v>46690</v>
      </c>
      <c r="B567" s="24" t="n">
        <f aca="false">IF(YEAR(A567)&gt;2026,Penalty!$B$16/100,IFERROR(INDEX(Rates!$B$4:$E$15,MATCH(YEAR(A567),Rates!$A$4:$A$15,0),ROUNDUP(MONTH(A567)/3,0))/100,0.03))</f>
        <v>0.07</v>
      </c>
      <c r="C567" s="25" t="n">
        <f aca="false">MAX(0,Penalty!$B$4-SUMIFS(Penalty!$C$10:$C$12,Penalty!$B$10:$B$12,"&lt;"&amp;A567))</f>
        <v>12000</v>
      </c>
      <c r="D567" s="25" t="n">
        <f aca="false">IF(A567&lt;=Penalty!$B$8,C567+F566+IF(A567&gt;Penalty!$B$19,Penalty!$I$5,0)+G566,0)</f>
        <v>0</v>
      </c>
      <c r="E567" s="26" t="n">
        <f aca="false">D567*B567/365</f>
        <v>0</v>
      </c>
      <c r="F567" s="25" t="n">
        <f aca="false">F566+E567*(1-IF(D567&gt;0,(IF(A567&gt;Penalty!$B$19,Penalty!$I$5,0)+G566)/D567,0))</f>
        <v>345.789278153858</v>
      </c>
      <c r="G567" s="25" t="n">
        <f aca="false">G566+E567*IF(D567&gt;0,(IF(A567&gt;Penalty!$B$19,Penalty!$I$5,0)+G566)/D567,0)</f>
        <v>46.6815525507708</v>
      </c>
    </row>
    <row r="568" customFormat="false" ht="15" hidden="false" customHeight="false" outlineLevel="0" collapsed="false">
      <c r="A568" s="23" t="n">
        <f aca="false">Penalty!$B$5+564</f>
        <v>46691</v>
      </c>
      <c r="B568" s="24" t="n">
        <f aca="false">IF(YEAR(A568)&gt;2026,Penalty!$B$16/100,IFERROR(INDEX(Rates!$B$4:$E$15,MATCH(YEAR(A568),Rates!$A$4:$A$15,0),ROUNDUP(MONTH(A568)/3,0))/100,0.03))</f>
        <v>0.07</v>
      </c>
      <c r="C568" s="25" t="n">
        <f aca="false">MAX(0,Penalty!$B$4-SUMIFS(Penalty!$C$10:$C$12,Penalty!$B$10:$B$12,"&lt;"&amp;A568))</f>
        <v>12000</v>
      </c>
      <c r="D568" s="25" t="n">
        <f aca="false">IF(A568&lt;=Penalty!$B$8,C568+F567+IF(A568&gt;Penalty!$B$19,Penalty!$I$5,0)+G567,0)</f>
        <v>0</v>
      </c>
      <c r="E568" s="26" t="n">
        <f aca="false">D568*B568/365</f>
        <v>0</v>
      </c>
      <c r="F568" s="25" t="n">
        <f aca="false">F567+E568*(1-IF(D568&gt;0,(IF(A568&gt;Penalty!$B$19,Penalty!$I$5,0)+G567)/D568,0))</f>
        <v>345.789278153858</v>
      </c>
      <c r="G568" s="25" t="n">
        <f aca="false">G567+E568*IF(D568&gt;0,(IF(A568&gt;Penalty!$B$19,Penalty!$I$5,0)+G567)/D568,0)</f>
        <v>46.6815525507708</v>
      </c>
    </row>
    <row r="569" customFormat="false" ht="15" hidden="false" customHeight="false" outlineLevel="0" collapsed="false">
      <c r="A569" s="23" t="n">
        <f aca="false">Penalty!$B$5+565</f>
        <v>46692</v>
      </c>
      <c r="B569" s="24" t="n">
        <f aca="false">IF(YEAR(A569)&gt;2026,Penalty!$B$16/100,IFERROR(INDEX(Rates!$B$4:$E$15,MATCH(YEAR(A569),Rates!$A$4:$A$15,0),ROUNDUP(MONTH(A569)/3,0))/100,0.03))</f>
        <v>0.07</v>
      </c>
      <c r="C569" s="25" t="n">
        <f aca="false">MAX(0,Penalty!$B$4-SUMIFS(Penalty!$C$10:$C$12,Penalty!$B$10:$B$12,"&lt;"&amp;A569))</f>
        <v>12000</v>
      </c>
      <c r="D569" s="25" t="n">
        <f aca="false">IF(A569&lt;=Penalty!$B$8,C569+F568+IF(A569&gt;Penalty!$B$19,Penalty!$I$5,0)+G568,0)</f>
        <v>0</v>
      </c>
      <c r="E569" s="26" t="n">
        <f aca="false">D569*B569/365</f>
        <v>0</v>
      </c>
      <c r="F569" s="25" t="n">
        <f aca="false">F568+E569*(1-IF(D569&gt;0,(IF(A569&gt;Penalty!$B$19,Penalty!$I$5,0)+G568)/D569,0))</f>
        <v>345.789278153858</v>
      </c>
      <c r="G569" s="25" t="n">
        <f aca="false">G568+E569*IF(D569&gt;0,(IF(A569&gt;Penalty!$B$19,Penalty!$I$5,0)+G568)/D569,0)</f>
        <v>46.6815525507708</v>
      </c>
    </row>
    <row r="570" customFormat="false" ht="15" hidden="false" customHeight="false" outlineLevel="0" collapsed="false">
      <c r="A570" s="23" t="n">
        <f aca="false">Penalty!$B$5+566</f>
        <v>46693</v>
      </c>
      <c r="B570" s="24" t="n">
        <f aca="false">IF(YEAR(A570)&gt;2026,Penalty!$B$16/100,IFERROR(INDEX(Rates!$B$4:$E$15,MATCH(YEAR(A570),Rates!$A$4:$A$15,0),ROUNDUP(MONTH(A570)/3,0))/100,0.03))</f>
        <v>0.07</v>
      </c>
      <c r="C570" s="25" t="n">
        <f aca="false">MAX(0,Penalty!$B$4-SUMIFS(Penalty!$C$10:$C$12,Penalty!$B$10:$B$12,"&lt;"&amp;A570))</f>
        <v>12000</v>
      </c>
      <c r="D570" s="25" t="n">
        <f aca="false">IF(A570&lt;=Penalty!$B$8,C570+F569+IF(A570&gt;Penalty!$B$19,Penalty!$I$5,0)+G569,0)</f>
        <v>0</v>
      </c>
      <c r="E570" s="26" t="n">
        <f aca="false">D570*B570/365</f>
        <v>0</v>
      </c>
      <c r="F570" s="25" t="n">
        <f aca="false">F569+E570*(1-IF(D570&gt;0,(IF(A570&gt;Penalty!$B$19,Penalty!$I$5,0)+G569)/D570,0))</f>
        <v>345.789278153858</v>
      </c>
      <c r="G570" s="25" t="n">
        <f aca="false">G569+E570*IF(D570&gt;0,(IF(A570&gt;Penalty!$B$19,Penalty!$I$5,0)+G569)/D570,0)</f>
        <v>46.6815525507708</v>
      </c>
    </row>
    <row r="571" customFormat="false" ht="15" hidden="false" customHeight="false" outlineLevel="0" collapsed="false">
      <c r="A571" s="23" t="n">
        <f aca="false">Penalty!$B$5+567</f>
        <v>46694</v>
      </c>
      <c r="B571" s="24" t="n">
        <f aca="false">IF(YEAR(A571)&gt;2026,Penalty!$B$16/100,IFERROR(INDEX(Rates!$B$4:$E$15,MATCH(YEAR(A571),Rates!$A$4:$A$15,0),ROUNDUP(MONTH(A571)/3,0))/100,0.03))</f>
        <v>0.07</v>
      </c>
      <c r="C571" s="25" t="n">
        <f aca="false">MAX(0,Penalty!$B$4-SUMIFS(Penalty!$C$10:$C$12,Penalty!$B$10:$B$12,"&lt;"&amp;A571))</f>
        <v>12000</v>
      </c>
      <c r="D571" s="25" t="n">
        <f aca="false">IF(A571&lt;=Penalty!$B$8,C571+F570+IF(A571&gt;Penalty!$B$19,Penalty!$I$5,0)+G570,0)</f>
        <v>0</v>
      </c>
      <c r="E571" s="26" t="n">
        <f aca="false">D571*B571/365</f>
        <v>0</v>
      </c>
      <c r="F571" s="25" t="n">
        <f aca="false">F570+E571*(1-IF(D571&gt;0,(IF(A571&gt;Penalty!$B$19,Penalty!$I$5,0)+G570)/D571,0))</f>
        <v>345.789278153858</v>
      </c>
      <c r="G571" s="25" t="n">
        <f aca="false">G570+E571*IF(D571&gt;0,(IF(A571&gt;Penalty!$B$19,Penalty!$I$5,0)+G570)/D571,0)</f>
        <v>46.6815525507708</v>
      </c>
    </row>
    <row r="572" customFormat="false" ht="15" hidden="false" customHeight="false" outlineLevel="0" collapsed="false">
      <c r="A572" s="23" t="n">
        <f aca="false">Penalty!$B$5+568</f>
        <v>46695</v>
      </c>
      <c r="B572" s="24" t="n">
        <f aca="false">IF(YEAR(A572)&gt;2026,Penalty!$B$16/100,IFERROR(INDEX(Rates!$B$4:$E$15,MATCH(YEAR(A572),Rates!$A$4:$A$15,0),ROUNDUP(MONTH(A572)/3,0))/100,0.03))</f>
        <v>0.07</v>
      </c>
      <c r="C572" s="25" t="n">
        <f aca="false">MAX(0,Penalty!$B$4-SUMIFS(Penalty!$C$10:$C$12,Penalty!$B$10:$B$12,"&lt;"&amp;A572))</f>
        <v>12000</v>
      </c>
      <c r="D572" s="25" t="n">
        <f aca="false">IF(A572&lt;=Penalty!$B$8,C572+F571+IF(A572&gt;Penalty!$B$19,Penalty!$I$5,0)+G571,0)</f>
        <v>0</v>
      </c>
      <c r="E572" s="26" t="n">
        <f aca="false">D572*B572/365</f>
        <v>0</v>
      </c>
      <c r="F572" s="25" t="n">
        <f aca="false">F571+E572*(1-IF(D572&gt;0,(IF(A572&gt;Penalty!$B$19,Penalty!$I$5,0)+G571)/D572,0))</f>
        <v>345.789278153858</v>
      </c>
      <c r="G572" s="25" t="n">
        <f aca="false">G571+E572*IF(D572&gt;0,(IF(A572&gt;Penalty!$B$19,Penalty!$I$5,0)+G571)/D572,0)</f>
        <v>46.6815525507708</v>
      </c>
    </row>
    <row r="573" customFormat="false" ht="15" hidden="false" customHeight="false" outlineLevel="0" collapsed="false">
      <c r="A573" s="23" t="n">
        <f aca="false">Penalty!$B$5+569</f>
        <v>46696</v>
      </c>
      <c r="B573" s="24" t="n">
        <f aca="false">IF(YEAR(A573)&gt;2026,Penalty!$B$16/100,IFERROR(INDEX(Rates!$B$4:$E$15,MATCH(YEAR(A573),Rates!$A$4:$A$15,0),ROUNDUP(MONTH(A573)/3,0))/100,0.03))</f>
        <v>0.07</v>
      </c>
      <c r="C573" s="25" t="n">
        <f aca="false">MAX(0,Penalty!$B$4-SUMIFS(Penalty!$C$10:$C$12,Penalty!$B$10:$B$12,"&lt;"&amp;A573))</f>
        <v>12000</v>
      </c>
      <c r="D573" s="25" t="n">
        <f aca="false">IF(A573&lt;=Penalty!$B$8,C573+F572+IF(A573&gt;Penalty!$B$19,Penalty!$I$5,0)+G572,0)</f>
        <v>0</v>
      </c>
      <c r="E573" s="26" t="n">
        <f aca="false">D573*B573/365</f>
        <v>0</v>
      </c>
      <c r="F573" s="25" t="n">
        <f aca="false">F572+E573*(1-IF(D573&gt;0,(IF(A573&gt;Penalty!$B$19,Penalty!$I$5,0)+G572)/D573,0))</f>
        <v>345.789278153858</v>
      </c>
      <c r="G573" s="25" t="n">
        <f aca="false">G572+E573*IF(D573&gt;0,(IF(A573&gt;Penalty!$B$19,Penalty!$I$5,0)+G572)/D573,0)</f>
        <v>46.6815525507708</v>
      </c>
    </row>
    <row r="574" customFormat="false" ht="15" hidden="false" customHeight="false" outlineLevel="0" collapsed="false">
      <c r="A574" s="23" t="n">
        <f aca="false">Penalty!$B$5+570</f>
        <v>46697</v>
      </c>
      <c r="B574" s="24" t="n">
        <f aca="false">IF(YEAR(A574)&gt;2026,Penalty!$B$16/100,IFERROR(INDEX(Rates!$B$4:$E$15,MATCH(YEAR(A574),Rates!$A$4:$A$15,0),ROUNDUP(MONTH(A574)/3,0))/100,0.03))</f>
        <v>0.07</v>
      </c>
      <c r="C574" s="25" t="n">
        <f aca="false">MAX(0,Penalty!$B$4-SUMIFS(Penalty!$C$10:$C$12,Penalty!$B$10:$B$12,"&lt;"&amp;A574))</f>
        <v>12000</v>
      </c>
      <c r="D574" s="25" t="n">
        <f aca="false">IF(A574&lt;=Penalty!$B$8,C574+F573+IF(A574&gt;Penalty!$B$19,Penalty!$I$5,0)+G573,0)</f>
        <v>0</v>
      </c>
      <c r="E574" s="26" t="n">
        <f aca="false">D574*B574/365</f>
        <v>0</v>
      </c>
      <c r="F574" s="25" t="n">
        <f aca="false">F573+E574*(1-IF(D574&gt;0,(IF(A574&gt;Penalty!$B$19,Penalty!$I$5,0)+G573)/D574,0))</f>
        <v>345.789278153858</v>
      </c>
      <c r="G574" s="25" t="n">
        <f aca="false">G573+E574*IF(D574&gt;0,(IF(A574&gt;Penalty!$B$19,Penalty!$I$5,0)+G573)/D574,0)</f>
        <v>46.6815525507708</v>
      </c>
    </row>
    <row r="575" customFormat="false" ht="15" hidden="false" customHeight="false" outlineLevel="0" collapsed="false">
      <c r="A575" s="23" t="n">
        <f aca="false">Penalty!$B$5+571</f>
        <v>46698</v>
      </c>
      <c r="B575" s="24" t="n">
        <f aca="false">IF(YEAR(A575)&gt;2026,Penalty!$B$16/100,IFERROR(INDEX(Rates!$B$4:$E$15,MATCH(YEAR(A575),Rates!$A$4:$A$15,0),ROUNDUP(MONTH(A575)/3,0))/100,0.03))</f>
        <v>0.07</v>
      </c>
      <c r="C575" s="25" t="n">
        <f aca="false">MAX(0,Penalty!$B$4-SUMIFS(Penalty!$C$10:$C$12,Penalty!$B$10:$B$12,"&lt;"&amp;A575))</f>
        <v>12000</v>
      </c>
      <c r="D575" s="25" t="n">
        <f aca="false">IF(A575&lt;=Penalty!$B$8,C575+F574+IF(A575&gt;Penalty!$B$19,Penalty!$I$5,0)+G574,0)</f>
        <v>0</v>
      </c>
      <c r="E575" s="26" t="n">
        <f aca="false">D575*B575/365</f>
        <v>0</v>
      </c>
      <c r="F575" s="25" t="n">
        <f aca="false">F574+E575*(1-IF(D575&gt;0,(IF(A575&gt;Penalty!$B$19,Penalty!$I$5,0)+G574)/D575,0))</f>
        <v>345.789278153858</v>
      </c>
      <c r="G575" s="25" t="n">
        <f aca="false">G574+E575*IF(D575&gt;0,(IF(A575&gt;Penalty!$B$19,Penalty!$I$5,0)+G574)/D575,0)</f>
        <v>46.6815525507708</v>
      </c>
    </row>
    <row r="576" customFormat="false" ht="15" hidden="false" customHeight="false" outlineLevel="0" collapsed="false">
      <c r="A576" s="23" t="n">
        <f aca="false">Penalty!$B$5+572</f>
        <v>46699</v>
      </c>
      <c r="B576" s="24" t="n">
        <f aca="false">IF(YEAR(A576)&gt;2026,Penalty!$B$16/100,IFERROR(INDEX(Rates!$B$4:$E$15,MATCH(YEAR(A576),Rates!$A$4:$A$15,0),ROUNDUP(MONTH(A576)/3,0))/100,0.03))</f>
        <v>0.07</v>
      </c>
      <c r="C576" s="25" t="n">
        <f aca="false">MAX(0,Penalty!$B$4-SUMIFS(Penalty!$C$10:$C$12,Penalty!$B$10:$B$12,"&lt;"&amp;A576))</f>
        <v>12000</v>
      </c>
      <c r="D576" s="25" t="n">
        <f aca="false">IF(A576&lt;=Penalty!$B$8,C576+F575+IF(A576&gt;Penalty!$B$19,Penalty!$I$5,0)+G575,0)</f>
        <v>0</v>
      </c>
      <c r="E576" s="26" t="n">
        <f aca="false">D576*B576/365</f>
        <v>0</v>
      </c>
      <c r="F576" s="25" t="n">
        <f aca="false">F575+E576*(1-IF(D576&gt;0,(IF(A576&gt;Penalty!$B$19,Penalty!$I$5,0)+G575)/D576,0))</f>
        <v>345.789278153858</v>
      </c>
      <c r="G576" s="25" t="n">
        <f aca="false">G575+E576*IF(D576&gt;0,(IF(A576&gt;Penalty!$B$19,Penalty!$I$5,0)+G575)/D576,0)</f>
        <v>46.6815525507708</v>
      </c>
    </row>
    <row r="577" customFormat="false" ht="15" hidden="false" customHeight="false" outlineLevel="0" collapsed="false">
      <c r="A577" s="23" t="n">
        <f aca="false">Penalty!$B$5+573</f>
        <v>46700</v>
      </c>
      <c r="B577" s="24" t="n">
        <f aca="false">IF(YEAR(A577)&gt;2026,Penalty!$B$16/100,IFERROR(INDEX(Rates!$B$4:$E$15,MATCH(YEAR(A577),Rates!$A$4:$A$15,0),ROUNDUP(MONTH(A577)/3,0))/100,0.03))</f>
        <v>0.07</v>
      </c>
      <c r="C577" s="25" t="n">
        <f aca="false">MAX(0,Penalty!$B$4-SUMIFS(Penalty!$C$10:$C$12,Penalty!$B$10:$B$12,"&lt;"&amp;A577))</f>
        <v>12000</v>
      </c>
      <c r="D577" s="25" t="n">
        <f aca="false">IF(A577&lt;=Penalty!$B$8,C577+F576+IF(A577&gt;Penalty!$B$19,Penalty!$I$5,0)+G576,0)</f>
        <v>0</v>
      </c>
      <c r="E577" s="26" t="n">
        <f aca="false">D577*B577/365</f>
        <v>0</v>
      </c>
      <c r="F577" s="25" t="n">
        <f aca="false">F576+E577*(1-IF(D577&gt;0,(IF(A577&gt;Penalty!$B$19,Penalty!$I$5,0)+G576)/D577,0))</f>
        <v>345.789278153858</v>
      </c>
      <c r="G577" s="25" t="n">
        <f aca="false">G576+E577*IF(D577&gt;0,(IF(A577&gt;Penalty!$B$19,Penalty!$I$5,0)+G576)/D577,0)</f>
        <v>46.6815525507708</v>
      </c>
    </row>
    <row r="578" customFormat="false" ht="15" hidden="false" customHeight="false" outlineLevel="0" collapsed="false">
      <c r="A578" s="23" t="n">
        <f aca="false">Penalty!$B$5+574</f>
        <v>46701</v>
      </c>
      <c r="B578" s="24" t="n">
        <f aca="false">IF(YEAR(A578)&gt;2026,Penalty!$B$16/100,IFERROR(INDEX(Rates!$B$4:$E$15,MATCH(YEAR(A578),Rates!$A$4:$A$15,0),ROUNDUP(MONTH(A578)/3,0))/100,0.03))</f>
        <v>0.07</v>
      </c>
      <c r="C578" s="25" t="n">
        <f aca="false">MAX(0,Penalty!$B$4-SUMIFS(Penalty!$C$10:$C$12,Penalty!$B$10:$B$12,"&lt;"&amp;A578))</f>
        <v>12000</v>
      </c>
      <c r="D578" s="25" t="n">
        <f aca="false">IF(A578&lt;=Penalty!$B$8,C578+F577+IF(A578&gt;Penalty!$B$19,Penalty!$I$5,0)+G577,0)</f>
        <v>0</v>
      </c>
      <c r="E578" s="26" t="n">
        <f aca="false">D578*B578/365</f>
        <v>0</v>
      </c>
      <c r="F578" s="25" t="n">
        <f aca="false">F577+E578*(1-IF(D578&gt;0,(IF(A578&gt;Penalty!$B$19,Penalty!$I$5,0)+G577)/D578,0))</f>
        <v>345.789278153858</v>
      </c>
      <c r="G578" s="25" t="n">
        <f aca="false">G577+E578*IF(D578&gt;0,(IF(A578&gt;Penalty!$B$19,Penalty!$I$5,0)+G577)/D578,0)</f>
        <v>46.6815525507708</v>
      </c>
    </row>
    <row r="579" customFormat="false" ht="15" hidden="false" customHeight="false" outlineLevel="0" collapsed="false">
      <c r="A579" s="23" t="n">
        <f aca="false">Penalty!$B$5+575</f>
        <v>46702</v>
      </c>
      <c r="B579" s="24" t="n">
        <f aca="false">IF(YEAR(A579)&gt;2026,Penalty!$B$16/100,IFERROR(INDEX(Rates!$B$4:$E$15,MATCH(YEAR(A579),Rates!$A$4:$A$15,0),ROUNDUP(MONTH(A579)/3,0))/100,0.03))</f>
        <v>0.07</v>
      </c>
      <c r="C579" s="25" t="n">
        <f aca="false">MAX(0,Penalty!$B$4-SUMIFS(Penalty!$C$10:$C$12,Penalty!$B$10:$B$12,"&lt;"&amp;A579))</f>
        <v>12000</v>
      </c>
      <c r="D579" s="25" t="n">
        <f aca="false">IF(A579&lt;=Penalty!$B$8,C579+F578+IF(A579&gt;Penalty!$B$19,Penalty!$I$5,0)+G578,0)</f>
        <v>0</v>
      </c>
      <c r="E579" s="26" t="n">
        <f aca="false">D579*B579/365</f>
        <v>0</v>
      </c>
      <c r="F579" s="25" t="n">
        <f aca="false">F578+E579*(1-IF(D579&gt;0,(IF(A579&gt;Penalty!$B$19,Penalty!$I$5,0)+G578)/D579,0))</f>
        <v>345.789278153858</v>
      </c>
      <c r="G579" s="25" t="n">
        <f aca="false">G578+E579*IF(D579&gt;0,(IF(A579&gt;Penalty!$B$19,Penalty!$I$5,0)+G578)/D579,0)</f>
        <v>46.6815525507708</v>
      </c>
    </row>
    <row r="580" customFormat="false" ht="15" hidden="false" customHeight="false" outlineLevel="0" collapsed="false">
      <c r="A580" s="23" t="n">
        <f aca="false">Penalty!$B$5+576</f>
        <v>46703</v>
      </c>
      <c r="B580" s="24" t="n">
        <f aca="false">IF(YEAR(A580)&gt;2026,Penalty!$B$16/100,IFERROR(INDEX(Rates!$B$4:$E$15,MATCH(YEAR(A580),Rates!$A$4:$A$15,0),ROUNDUP(MONTH(A580)/3,0))/100,0.03))</f>
        <v>0.07</v>
      </c>
      <c r="C580" s="25" t="n">
        <f aca="false">MAX(0,Penalty!$B$4-SUMIFS(Penalty!$C$10:$C$12,Penalty!$B$10:$B$12,"&lt;"&amp;A580))</f>
        <v>12000</v>
      </c>
      <c r="D580" s="25" t="n">
        <f aca="false">IF(A580&lt;=Penalty!$B$8,C580+F579+IF(A580&gt;Penalty!$B$19,Penalty!$I$5,0)+G579,0)</f>
        <v>0</v>
      </c>
      <c r="E580" s="26" t="n">
        <f aca="false">D580*B580/365</f>
        <v>0</v>
      </c>
      <c r="F580" s="25" t="n">
        <f aca="false">F579+E580*(1-IF(D580&gt;0,(IF(A580&gt;Penalty!$B$19,Penalty!$I$5,0)+G579)/D580,0))</f>
        <v>345.789278153858</v>
      </c>
      <c r="G580" s="25" t="n">
        <f aca="false">G579+E580*IF(D580&gt;0,(IF(A580&gt;Penalty!$B$19,Penalty!$I$5,0)+G579)/D580,0)</f>
        <v>46.6815525507708</v>
      </c>
    </row>
    <row r="581" customFormat="false" ht="15" hidden="false" customHeight="false" outlineLevel="0" collapsed="false">
      <c r="A581" s="23" t="n">
        <f aca="false">Penalty!$B$5+577</f>
        <v>46704</v>
      </c>
      <c r="B581" s="24" t="n">
        <f aca="false">IF(YEAR(A581)&gt;2026,Penalty!$B$16/100,IFERROR(INDEX(Rates!$B$4:$E$15,MATCH(YEAR(A581),Rates!$A$4:$A$15,0),ROUNDUP(MONTH(A581)/3,0))/100,0.03))</f>
        <v>0.07</v>
      </c>
      <c r="C581" s="25" t="n">
        <f aca="false">MAX(0,Penalty!$B$4-SUMIFS(Penalty!$C$10:$C$12,Penalty!$B$10:$B$12,"&lt;"&amp;A581))</f>
        <v>12000</v>
      </c>
      <c r="D581" s="25" t="n">
        <f aca="false">IF(A581&lt;=Penalty!$B$8,C581+F580+IF(A581&gt;Penalty!$B$19,Penalty!$I$5,0)+G580,0)</f>
        <v>0</v>
      </c>
      <c r="E581" s="26" t="n">
        <f aca="false">D581*B581/365</f>
        <v>0</v>
      </c>
      <c r="F581" s="25" t="n">
        <f aca="false">F580+E581*(1-IF(D581&gt;0,(IF(A581&gt;Penalty!$B$19,Penalty!$I$5,0)+G580)/D581,0))</f>
        <v>345.789278153858</v>
      </c>
      <c r="G581" s="25" t="n">
        <f aca="false">G580+E581*IF(D581&gt;0,(IF(A581&gt;Penalty!$B$19,Penalty!$I$5,0)+G580)/D581,0)</f>
        <v>46.6815525507708</v>
      </c>
    </row>
    <row r="582" customFormat="false" ht="15" hidden="false" customHeight="false" outlineLevel="0" collapsed="false">
      <c r="A582" s="23" t="n">
        <f aca="false">Penalty!$B$5+578</f>
        <v>46705</v>
      </c>
      <c r="B582" s="24" t="n">
        <f aca="false">IF(YEAR(A582)&gt;2026,Penalty!$B$16/100,IFERROR(INDEX(Rates!$B$4:$E$15,MATCH(YEAR(A582),Rates!$A$4:$A$15,0),ROUNDUP(MONTH(A582)/3,0))/100,0.03))</f>
        <v>0.07</v>
      </c>
      <c r="C582" s="25" t="n">
        <f aca="false">MAX(0,Penalty!$B$4-SUMIFS(Penalty!$C$10:$C$12,Penalty!$B$10:$B$12,"&lt;"&amp;A582))</f>
        <v>12000</v>
      </c>
      <c r="D582" s="25" t="n">
        <f aca="false">IF(A582&lt;=Penalty!$B$8,C582+F581+IF(A582&gt;Penalty!$B$19,Penalty!$I$5,0)+G581,0)</f>
        <v>0</v>
      </c>
      <c r="E582" s="26" t="n">
        <f aca="false">D582*B582/365</f>
        <v>0</v>
      </c>
      <c r="F582" s="25" t="n">
        <f aca="false">F581+E582*(1-IF(D582&gt;0,(IF(A582&gt;Penalty!$B$19,Penalty!$I$5,0)+G581)/D582,0))</f>
        <v>345.789278153858</v>
      </c>
      <c r="G582" s="25" t="n">
        <f aca="false">G581+E582*IF(D582&gt;0,(IF(A582&gt;Penalty!$B$19,Penalty!$I$5,0)+G581)/D582,0)</f>
        <v>46.6815525507708</v>
      </c>
    </row>
    <row r="583" customFormat="false" ht="15" hidden="false" customHeight="false" outlineLevel="0" collapsed="false">
      <c r="A583" s="23" t="n">
        <f aca="false">Penalty!$B$5+579</f>
        <v>46706</v>
      </c>
      <c r="B583" s="24" t="n">
        <f aca="false">IF(YEAR(A583)&gt;2026,Penalty!$B$16/100,IFERROR(INDEX(Rates!$B$4:$E$15,MATCH(YEAR(A583),Rates!$A$4:$A$15,0),ROUNDUP(MONTH(A583)/3,0))/100,0.03))</f>
        <v>0.07</v>
      </c>
      <c r="C583" s="25" t="n">
        <f aca="false">MAX(0,Penalty!$B$4-SUMIFS(Penalty!$C$10:$C$12,Penalty!$B$10:$B$12,"&lt;"&amp;A583))</f>
        <v>12000</v>
      </c>
      <c r="D583" s="25" t="n">
        <f aca="false">IF(A583&lt;=Penalty!$B$8,C583+F582+IF(A583&gt;Penalty!$B$19,Penalty!$I$5,0)+G582,0)</f>
        <v>0</v>
      </c>
      <c r="E583" s="26" t="n">
        <f aca="false">D583*B583/365</f>
        <v>0</v>
      </c>
      <c r="F583" s="25" t="n">
        <f aca="false">F582+E583*(1-IF(D583&gt;0,(IF(A583&gt;Penalty!$B$19,Penalty!$I$5,0)+G582)/D583,0))</f>
        <v>345.789278153858</v>
      </c>
      <c r="G583" s="25" t="n">
        <f aca="false">G582+E583*IF(D583&gt;0,(IF(A583&gt;Penalty!$B$19,Penalty!$I$5,0)+G582)/D583,0)</f>
        <v>46.6815525507708</v>
      </c>
    </row>
    <row r="584" customFormat="false" ht="15" hidden="false" customHeight="false" outlineLevel="0" collapsed="false">
      <c r="A584" s="23" t="n">
        <f aca="false">Penalty!$B$5+580</f>
        <v>46707</v>
      </c>
      <c r="B584" s="24" t="n">
        <f aca="false">IF(YEAR(A584)&gt;2026,Penalty!$B$16/100,IFERROR(INDEX(Rates!$B$4:$E$15,MATCH(YEAR(A584),Rates!$A$4:$A$15,0),ROUNDUP(MONTH(A584)/3,0))/100,0.03))</f>
        <v>0.07</v>
      </c>
      <c r="C584" s="25" t="n">
        <f aca="false">MAX(0,Penalty!$B$4-SUMIFS(Penalty!$C$10:$C$12,Penalty!$B$10:$B$12,"&lt;"&amp;A584))</f>
        <v>12000</v>
      </c>
      <c r="D584" s="25" t="n">
        <f aca="false">IF(A584&lt;=Penalty!$B$8,C584+F583+IF(A584&gt;Penalty!$B$19,Penalty!$I$5,0)+G583,0)</f>
        <v>0</v>
      </c>
      <c r="E584" s="26" t="n">
        <f aca="false">D584*B584/365</f>
        <v>0</v>
      </c>
      <c r="F584" s="25" t="n">
        <f aca="false">F583+E584*(1-IF(D584&gt;0,(IF(A584&gt;Penalty!$B$19,Penalty!$I$5,0)+G583)/D584,0))</f>
        <v>345.789278153858</v>
      </c>
      <c r="G584" s="25" t="n">
        <f aca="false">G583+E584*IF(D584&gt;0,(IF(A584&gt;Penalty!$B$19,Penalty!$I$5,0)+G583)/D584,0)</f>
        <v>46.6815525507708</v>
      </c>
    </row>
    <row r="585" customFormat="false" ht="15" hidden="false" customHeight="false" outlineLevel="0" collapsed="false">
      <c r="A585" s="23" t="n">
        <f aca="false">Penalty!$B$5+581</f>
        <v>46708</v>
      </c>
      <c r="B585" s="24" t="n">
        <f aca="false">IF(YEAR(A585)&gt;2026,Penalty!$B$16/100,IFERROR(INDEX(Rates!$B$4:$E$15,MATCH(YEAR(A585),Rates!$A$4:$A$15,0),ROUNDUP(MONTH(A585)/3,0))/100,0.03))</f>
        <v>0.07</v>
      </c>
      <c r="C585" s="25" t="n">
        <f aca="false">MAX(0,Penalty!$B$4-SUMIFS(Penalty!$C$10:$C$12,Penalty!$B$10:$B$12,"&lt;"&amp;A585))</f>
        <v>12000</v>
      </c>
      <c r="D585" s="25" t="n">
        <f aca="false">IF(A585&lt;=Penalty!$B$8,C585+F584+IF(A585&gt;Penalty!$B$19,Penalty!$I$5,0)+G584,0)</f>
        <v>0</v>
      </c>
      <c r="E585" s="26" t="n">
        <f aca="false">D585*B585/365</f>
        <v>0</v>
      </c>
      <c r="F585" s="25" t="n">
        <f aca="false">F584+E585*(1-IF(D585&gt;0,(IF(A585&gt;Penalty!$B$19,Penalty!$I$5,0)+G584)/D585,0))</f>
        <v>345.789278153858</v>
      </c>
      <c r="G585" s="25" t="n">
        <f aca="false">G584+E585*IF(D585&gt;0,(IF(A585&gt;Penalty!$B$19,Penalty!$I$5,0)+G584)/D585,0)</f>
        <v>46.6815525507708</v>
      </c>
    </row>
    <row r="586" customFormat="false" ht="15" hidden="false" customHeight="false" outlineLevel="0" collapsed="false">
      <c r="A586" s="23" t="n">
        <f aca="false">Penalty!$B$5+582</f>
        <v>46709</v>
      </c>
      <c r="B586" s="24" t="n">
        <f aca="false">IF(YEAR(A586)&gt;2026,Penalty!$B$16/100,IFERROR(INDEX(Rates!$B$4:$E$15,MATCH(YEAR(A586),Rates!$A$4:$A$15,0),ROUNDUP(MONTH(A586)/3,0))/100,0.03))</f>
        <v>0.07</v>
      </c>
      <c r="C586" s="25" t="n">
        <f aca="false">MAX(0,Penalty!$B$4-SUMIFS(Penalty!$C$10:$C$12,Penalty!$B$10:$B$12,"&lt;"&amp;A586))</f>
        <v>12000</v>
      </c>
      <c r="D586" s="25" t="n">
        <f aca="false">IF(A586&lt;=Penalty!$B$8,C586+F585+IF(A586&gt;Penalty!$B$19,Penalty!$I$5,0)+G585,0)</f>
        <v>0</v>
      </c>
      <c r="E586" s="26" t="n">
        <f aca="false">D586*B586/365</f>
        <v>0</v>
      </c>
      <c r="F586" s="25" t="n">
        <f aca="false">F585+E586*(1-IF(D586&gt;0,(IF(A586&gt;Penalty!$B$19,Penalty!$I$5,0)+G585)/D586,0))</f>
        <v>345.789278153858</v>
      </c>
      <c r="G586" s="25" t="n">
        <f aca="false">G585+E586*IF(D586&gt;0,(IF(A586&gt;Penalty!$B$19,Penalty!$I$5,0)+G585)/D586,0)</f>
        <v>46.6815525507708</v>
      </c>
    </row>
    <row r="587" customFormat="false" ht="15" hidden="false" customHeight="false" outlineLevel="0" collapsed="false">
      <c r="A587" s="23" t="n">
        <f aca="false">Penalty!$B$5+583</f>
        <v>46710</v>
      </c>
      <c r="B587" s="24" t="n">
        <f aca="false">IF(YEAR(A587)&gt;2026,Penalty!$B$16/100,IFERROR(INDEX(Rates!$B$4:$E$15,MATCH(YEAR(A587),Rates!$A$4:$A$15,0),ROUNDUP(MONTH(A587)/3,0))/100,0.03))</f>
        <v>0.07</v>
      </c>
      <c r="C587" s="25" t="n">
        <f aca="false">MAX(0,Penalty!$B$4-SUMIFS(Penalty!$C$10:$C$12,Penalty!$B$10:$B$12,"&lt;"&amp;A587))</f>
        <v>12000</v>
      </c>
      <c r="D587" s="25" t="n">
        <f aca="false">IF(A587&lt;=Penalty!$B$8,C587+F586+IF(A587&gt;Penalty!$B$19,Penalty!$I$5,0)+G586,0)</f>
        <v>0</v>
      </c>
      <c r="E587" s="26" t="n">
        <f aca="false">D587*B587/365</f>
        <v>0</v>
      </c>
      <c r="F587" s="25" t="n">
        <f aca="false">F586+E587*(1-IF(D587&gt;0,(IF(A587&gt;Penalty!$B$19,Penalty!$I$5,0)+G586)/D587,0))</f>
        <v>345.789278153858</v>
      </c>
      <c r="G587" s="25" t="n">
        <f aca="false">G586+E587*IF(D587&gt;0,(IF(A587&gt;Penalty!$B$19,Penalty!$I$5,0)+G586)/D587,0)</f>
        <v>46.6815525507708</v>
      </c>
    </row>
    <row r="588" customFormat="false" ht="15" hidden="false" customHeight="false" outlineLevel="0" collapsed="false">
      <c r="A588" s="23" t="n">
        <f aca="false">Penalty!$B$5+584</f>
        <v>46711</v>
      </c>
      <c r="B588" s="24" t="n">
        <f aca="false">IF(YEAR(A588)&gt;2026,Penalty!$B$16/100,IFERROR(INDEX(Rates!$B$4:$E$15,MATCH(YEAR(A588),Rates!$A$4:$A$15,0),ROUNDUP(MONTH(A588)/3,0))/100,0.03))</f>
        <v>0.07</v>
      </c>
      <c r="C588" s="25" t="n">
        <f aca="false">MAX(0,Penalty!$B$4-SUMIFS(Penalty!$C$10:$C$12,Penalty!$B$10:$B$12,"&lt;"&amp;A588))</f>
        <v>12000</v>
      </c>
      <c r="D588" s="25" t="n">
        <f aca="false">IF(A588&lt;=Penalty!$B$8,C588+F587+IF(A588&gt;Penalty!$B$19,Penalty!$I$5,0)+G587,0)</f>
        <v>0</v>
      </c>
      <c r="E588" s="26" t="n">
        <f aca="false">D588*B588/365</f>
        <v>0</v>
      </c>
      <c r="F588" s="25" t="n">
        <f aca="false">F587+E588*(1-IF(D588&gt;0,(IF(A588&gt;Penalty!$B$19,Penalty!$I$5,0)+G587)/D588,0))</f>
        <v>345.789278153858</v>
      </c>
      <c r="G588" s="25" t="n">
        <f aca="false">G587+E588*IF(D588&gt;0,(IF(A588&gt;Penalty!$B$19,Penalty!$I$5,0)+G587)/D588,0)</f>
        <v>46.6815525507708</v>
      </c>
    </row>
    <row r="589" customFormat="false" ht="15" hidden="false" customHeight="false" outlineLevel="0" collapsed="false">
      <c r="A589" s="23" t="n">
        <f aca="false">Penalty!$B$5+585</f>
        <v>46712</v>
      </c>
      <c r="B589" s="24" t="n">
        <f aca="false">IF(YEAR(A589)&gt;2026,Penalty!$B$16/100,IFERROR(INDEX(Rates!$B$4:$E$15,MATCH(YEAR(A589),Rates!$A$4:$A$15,0),ROUNDUP(MONTH(A589)/3,0))/100,0.03))</f>
        <v>0.07</v>
      </c>
      <c r="C589" s="25" t="n">
        <f aca="false">MAX(0,Penalty!$B$4-SUMIFS(Penalty!$C$10:$C$12,Penalty!$B$10:$B$12,"&lt;"&amp;A589))</f>
        <v>12000</v>
      </c>
      <c r="D589" s="25" t="n">
        <f aca="false">IF(A589&lt;=Penalty!$B$8,C589+F588+IF(A589&gt;Penalty!$B$19,Penalty!$I$5,0)+G588,0)</f>
        <v>0</v>
      </c>
      <c r="E589" s="26" t="n">
        <f aca="false">D589*B589/365</f>
        <v>0</v>
      </c>
      <c r="F589" s="25" t="n">
        <f aca="false">F588+E589*(1-IF(D589&gt;0,(IF(A589&gt;Penalty!$B$19,Penalty!$I$5,0)+G588)/D589,0))</f>
        <v>345.789278153858</v>
      </c>
      <c r="G589" s="25" t="n">
        <f aca="false">G588+E589*IF(D589&gt;0,(IF(A589&gt;Penalty!$B$19,Penalty!$I$5,0)+G588)/D589,0)</f>
        <v>46.6815525507708</v>
      </c>
    </row>
    <row r="590" customFormat="false" ht="15" hidden="false" customHeight="false" outlineLevel="0" collapsed="false">
      <c r="A590" s="23" t="n">
        <f aca="false">Penalty!$B$5+586</f>
        <v>46713</v>
      </c>
      <c r="B590" s="24" t="n">
        <f aca="false">IF(YEAR(A590)&gt;2026,Penalty!$B$16/100,IFERROR(INDEX(Rates!$B$4:$E$15,MATCH(YEAR(A590),Rates!$A$4:$A$15,0),ROUNDUP(MONTH(A590)/3,0))/100,0.03))</f>
        <v>0.07</v>
      </c>
      <c r="C590" s="25" t="n">
        <f aca="false">MAX(0,Penalty!$B$4-SUMIFS(Penalty!$C$10:$C$12,Penalty!$B$10:$B$12,"&lt;"&amp;A590))</f>
        <v>12000</v>
      </c>
      <c r="D590" s="25" t="n">
        <f aca="false">IF(A590&lt;=Penalty!$B$8,C590+F589+IF(A590&gt;Penalty!$B$19,Penalty!$I$5,0)+G589,0)</f>
        <v>0</v>
      </c>
      <c r="E590" s="26" t="n">
        <f aca="false">D590*B590/365</f>
        <v>0</v>
      </c>
      <c r="F590" s="25" t="n">
        <f aca="false">F589+E590*(1-IF(D590&gt;0,(IF(A590&gt;Penalty!$B$19,Penalty!$I$5,0)+G589)/D590,0))</f>
        <v>345.789278153858</v>
      </c>
      <c r="G590" s="25" t="n">
        <f aca="false">G589+E590*IF(D590&gt;0,(IF(A590&gt;Penalty!$B$19,Penalty!$I$5,0)+G589)/D590,0)</f>
        <v>46.6815525507708</v>
      </c>
    </row>
    <row r="591" customFormat="false" ht="15" hidden="false" customHeight="false" outlineLevel="0" collapsed="false">
      <c r="A591" s="23" t="n">
        <f aca="false">Penalty!$B$5+587</f>
        <v>46714</v>
      </c>
      <c r="B591" s="24" t="n">
        <f aca="false">IF(YEAR(A591)&gt;2026,Penalty!$B$16/100,IFERROR(INDEX(Rates!$B$4:$E$15,MATCH(YEAR(A591),Rates!$A$4:$A$15,0),ROUNDUP(MONTH(A591)/3,0))/100,0.03))</f>
        <v>0.07</v>
      </c>
      <c r="C591" s="25" t="n">
        <f aca="false">MAX(0,Penalty!$B$4-SUMIFS(Penalty!$C$10:$C$12,Penalty!$B$10:$B$12,"&lt;"&amp;A591))</f>
        <v>12000</v>
      </c>
      <c r="D591" s="25" t="n">
        <f aca="false">IF(A591&lt;=Penalty!$B$8,C591+F590+IF(A591&gt;Penalty!$B$19,Penalty!$I$5,0)+G590,0)</f>
        <v>0</v>
      </c>
      <c r="E591" s="26" t="n">
        <f aca="false">D591*B591/365</f>
        <v>0</v>
      </c>
      <c r="F591" s="25" t="n">
        <f aca="false">F590+E591*(1-IF(D591&gt;0,(IF(A591&gt;Penalty!$B$19,Penalty!$I$5,0)+G590)/D591,0))</f>
        <v>345.789278153858</v>
      </c>
      <c r="G591" s="25" t="n">
        <f aca="false">G590+E591*IF(D591&gt;0,(IF(A591&gt;Penalty!$B$19,Penalty!$I$5,0)+G590)/D591,0)</f>
        <v>46.6815525507708</v>
      </c>
    </row>
    <row r="592" customFormat="false" ht="15" hidden="false" customHeight="false" outlineLevel="0" collapsed="false">
      <c r="A592" s="23" t="n">
        <f aca="false">Penalty!$B$5+588</f>
        <v>46715</v>
      </c>
      <c r="B592" s="24" t="n">
        <f aca="false">IF(YEAR(A592)&gt;2026,Penalty!$B$16/100,IFERROR(INDEX(Rates!$B$4:$E$15,MATCH(YEAR(A592),Rates!$A$4:$A$15,0),ROUNDUP(MONTH(A592)/3,0))/100,0.03))</f>
        <v>0.07</v>
      </c>
      <c r="C592" s="25" t="n">
        <f aca="false">MAX(0,Penalty!$B$4-SUMIFS(Penalty!$C$10:$C$12,Penalty!$B$10:$B$12,"&lt;"&amp;A592))</f>
        <v>12000</v>
      </c>
      <c r="D592" s="25" t="n">
        <f aca="false">IF(A592&lt;=Penalty!$B$8,C592+F591+IF(A592&gt;Penalty!$B$19,Penalty!$I$5,0)+G591,0)</f>
        <v>0</v>
      </c>
      <c r="E592" s="26" t="n">
        <f aca="false">D592*B592/365</f>
        <v>0</v>
      </c>
      <c r="F592" s="25" t="n">
        <f aca="false">F591+E592*(1-IF(D592&gt;0,(IF(A592&gt;Penalty!$B$19,Penalty!$I$5,0)+G591)/D592,0))</f>
        <v>345.789278153858</v>
      </c>
      <c r="G592" s="25" t="n">
        <f aca="false">G591+E592*IF(D592&gt;0,(IF(A592&gt;Penalty!$B$19,Penalty!$I$5,0)+G591)/D592,0)</f>
        <v>46.6815525507708</v>
      </c>
    </row>
    <row r="593" customFormat="false" ht="15" hidden="false" customHeight="false" outlineLevel="0" collapsed="false">
      <c r="A593" s="23" t="n">
        <f aca="false">Penalty!$B$5+589</f>
        <v>46716</v>
      </c>
      <c r="B593" s="24" t="n">
        <f aca="false">IF(YEAR(A593)&gt;2026,Penalty!$B$16/100,IFERROR(INDEX(Rates!$B$4:$E$15,MATCH(YEAR(A593),Rates!$A$4:$A$15,0),ROUNDUP(MONTH(A593)/3,0))/100,0.03))</f>
        <v>0.07</v>
      </c>
      <c r="C593" s="25" t="n">
        <f aca="false">MAX(0,Penalty!$B$4-SUMIFS(Penalty!$C$10:$C$12,Penalty!$B$10:$B$12,"&lt;"&amp;A593))</f>
        <v>12000</v>
      </c>
      <c r="D593" s="25" t="n">
        <f aca="false">IF(A593&lt;=Penalty!$B$8,C593+F592+IF(A593&gt;Penalty!$B$19,Penalty!$I$5,0)+G592,0)</f>
        <v>0</v>
      </c>
      <c r="E593" s="26" t="n">
        <f aca="false">D593*B593/365</f>
        <v>0</v>
      </c>
      <c r="F593" s="25" t="n">
        <f aca="false">F592+E593*(1-IF(D593&gt;0,(IF(A593&gt;Penalty!$B$19,Penalty!$I$5,0)+G592)/D593,0))</f>
        <v>345.789278153858</v>
      </c>
      <c r="G593" s="25" t="n">
        <f aca="false">G592+E593*IF(D593&gt;0,(IF(A593&gt;Penalty!$B$19,Penalty!$I$5,0)+G592)/D593,0)</f>
        <v>46.6815525507708</v>
      </c>
    </row>
    <row r="594" customFormat="false" ht="15" hidden="false" customHeight="false" outlineLevel="0" collapsed="false">
      <c r="A594" s="23" t="n">
        <f aca="false">Penalty!$B$5+590</f>
        <v>46717</v>
      </c>
      <c r="B594" s="24" t="n">
        <f aca="false">IF(YEAR(A594)&gt;2026,Penalty!$B$16/100,IFERROR(INDEX(Rates!$B$4:$E$15,MATCH(YEAR(A594),Rates!$A$4:$A$15,0),ROUNDUP(MONTH(A594)/3,0))/100,0.03))</f>
        <v>0.07</v>
      </c>
      <c r="C594" s="25" t="n">
        <f aca="false">MAX(0,Penalty!$B$4-SUMIFS(Penalty!$C$10:$C$12,Penalty!$B$10:$B$12,"&lt;"&amp;A594))</f>
        <v>12000</v>
      </c>
      <c r="D594" s="25" t="n">
        <f aca="false">IF(A594&lt;=Penalty!$B$8,C594+F593+IF(A594&gt;Penalty!$B$19,Penalty!$I$5,0)+G593,0)</f>
        <v>0</v>
      </c>
      <c r="E594" s="26" t="n">
        <f aca="false">D594*B594/365</f>
        <v>0</v>
      </c>
      <c r="F594" s="25" t="n">
        <f aca="false">F593+E594*(1-IF(D594&gt;0,(IF(A594&gt;Penalty!$B$19,Penalty!$I$5,0)+G593)/D594,0))</f>
        <v>345.789278153858</v>
      </c>
      <c r="G594" s="25" t="n">
        <f aca="false">G593+E594*IF(D594&gt;0,(IF(A594&gt;Penalty!$B$19,Penalty!$I$5,0)+G593)/D594,0)</f>
        <v>46.6815525507708</v>
      </c>
    </row>
    <row r="595" customFormat="false" ht="15" hidden="false" customHeight="false" outlineLevel="0" collapsed="false">
      <c r="A595" s="23" t="n">
        <f aca="false">Penalty!$B$5+591</f>
        <v>46718</v>
      </c>
      <c r="B595" s="24" t="n">
        <f aca="false">IF(YEAR(A595)&gt;2026,Penalty!$B$16/100,IFERROR(INDEX(Rates!$B$4:$E$15,MATCH(YEAR(A595),Rates!$A$4:$A$15,0),ROUNDUP(MONTH(A595)/3,0))/100,0.03))</f>
        <v>0.07</v>
      </c>
      <c r="C595" s="25" t="n">
        <f aca="false">MAX(0,Penalty!$B$4-SUMIFS(Penalty!$C$10:$C$12,Penalty!$B$10:$B$12,"&lt;"&amp;A595))</f>
        <v>12000</v>
      </c>
      <c r="D595" s="25" t="n">
        <f aca="false">IF(A595&lt;=Penalty!$B$8,C595+F594+IF(A595&gt;Penalty!$B$19,Penalty!$I$5,0)+G594,0)</f>
        <v>0</v>
      </c>
      <c r="E595" s="26" t="n">
        <f aca="false">D595*B595/365</f>
        <v>0</v>
      </c>
      <c r="F595" s="25" t="n">
        <f aca="false">F594+E595*(1-IF(D595&gt;0,(IF(A595&gt;Penalty!$B$19,Penalty!$I$5,0)+G594)/D595,0))</f>
        <v>345.789278153858</v>
      </c>
      <c r="G595" s="25" t="n">
        <f aca="false">G594+E595*IF(D595&gt;0,(IF(A595&gt;Penalty!$B$19,Penalty!$I$5,0)+G594)/D595,0)</f>
        <v>46.6815525507708</v>
      </c>
    </row>
    <row r="596" customFormat="false" ht="15" hidden="false" customHeight="false" outlineLevel="0" collapsed="false">
      <c r="A596" s="23" t="n">
        <f aca="false">Penalty!$B$5+592</f>
        <v>46719</v>
      </c>
      <c r="B596" s="24" t="n">
        <f aca="false">IF(YEAR(A596)&gt;2026,Penalty!$B$16/100,IFERROR(INDEX(Rates!$B$4:$E$15,MATCH(YEAR(A596),Rates!$A$4:$A$15,0),ROUNDUP(MONTH(A596)/3,0))/100,0.03))</f>
        <v>0.07</v>
      </c>
      <c r="C596" s="25" t="n">
        <f aca="false">MAX(0,Penalty!$B$4-SUMIFS(Penalty!$C$10:$C$12,Penalty!$B$10:$B$12,"&lt;"&amp;A596))</f>
        <v>12000</v>
      </c>
      <c r="D596" s="25" t="n">
        <f aca="false">IF(A596&lt;=Penalty!$B$8,C596+F595+IF(A596&gt;Penalty!$B$19,Penalty!$I$5,0)+G595,0)</f>
        <v>0</v>
      </c>
      <c r="E596" s="26" t="n">
        <f aca="false">D596*B596/365</f>
        <v>0</v>
      </c>
      <c r="F596" s="25" t="n">
        <f aca="false">F595+E596*(1-IF(D596&gt;0,(IF(A596&gt;Penalty!$B$19,Penalty!$I$5,0)+G595)/D596,0))</f>
        <v>345.789278153858</v>
      </c>
      <c r="G596" s="25" t="n">
        <f aca="false">G595+E596*IF(D596&gt;0,(IF(A596&gt;Penalty!$B$19,Penalty!$I$5,0)+G595)/D596,0)</f>
        <v>46.6815525507708</v>
      </c>
    </row>
    <row r="597" customFormat="false" ht="15" hidden="false" customHeight="false" outlineLevel="0" collapsed="false">
      <c r="A597" s="23" t="n">
        <f aca="false">Penalty!$B$5+593</f>
        <v>46720</v>
      </c>
      <c r="B597" s="24" t="n">
        <f aca="false">IF(YEAR(A597)&gt;2026,Penalty!$B$16/100,IFERROR(INDEX(Rates!$B$4:$E$15,MATCH(YEAR(A597),Rates!$A$4:$A$15,0),ROUNDUP(MONTH(A597)/3,0))/100,0.03))</f>
        <v>0.07</v>
      </c>
      <c r="C597" s="25" t="n">
        <f aca="false">MAX(0,Penalty!$B$4-SUMIFS(Penalty!$C$10:$C$12,Penalty!$B$10:$B$12,"&lt;"&amp;A597))</f>
        <v>12000</v>
      </c>
      <c r="D597" s="25" t="n">
        <f aca="false">IF(A597&lt;=Penalty!$B$8,C597+F596+IF(A597&gt;Penalty!$B$19,Penalty!$I$5,0)+G596,0)</f>
        <v>0</v>
      </c>
      <c r="E597" s="26" t="n">
        <f aca="false">D597*B597/365</f>
        <v>0</v>
      </c>
      <c r="F597" s="25" t="n">
        <f aca="false">F596+E597*(1-IF(D597&gt;0,(IF(A597&gt;Penalty!$B$19,Penalty!$I$5,0)+G596)/D597,0))</f>
        <v>345.789278153858</v>
      </c>
      <c r="G597" s="25" t="n">
        <f aca="false">G596+E597*IF(D597&gt;0,(IF(A597&gt;Penalty!$B$19,Penalty!$I$5,0)+G596)/D597,0)</f>
        <v>46.6815525507708</v>
      </c>
    </row>
    <row r="598" customFormat="false" ht="15" hidden="false" customHeight="false" outlineLevel="0" collapsed="false">
      <c r="A598" s="23" t="n">
        <f aca="false">Penalty!$B$5+594</f>
        <v>46721</v>
      </c>
      <c r="B598" s="24" t="n">
        <f aca="false">IF(YEAR(A598)&gt;2026,Penalty!$B$16/100,IFERROR(INDEX(Rates!$B$4:$E$15,MATCH(YEAR(A598),Rates!$A$4:$A$15,0),ROUNDUP(MONTH(A598)/3,0))/100,0.03))</f>
        <v>0.07</v>
      </c>
      <c r="C598" s="25" t="n">
        <f aca="false">MAX(0,Penalty!$B$4-SUMIFS(Penalty!$C$10:$C$12,Penalty!$B$10:$B$12,"&lt;"&amp;A598))</f>
        <v>12000</v>
      </c>
      <c r="D598" s="25" t="n">
        <f aca="false">IF(A598&lt;=Penalty!$B$8,C598+F597+IF(A598&gt;Penalty!$B$19,Penalty!$I$5,0)+G597,0)</f>
        <v>0</v>
      </c>
      <c r="E598" s="26" t="n">
        <f aca="false">D598*B598/365</f>
        <v>0</v>
      </c>
      <c r="F598" s="25" t="n">
        <f aca="false">F597+E598*(1-IF(D598&gt;0,(IF(A598&gt;Penalty!$B$19,Penalty!$I$5,0)+G597)/D598,0))</f>
        <v>345.789278153858</v>
      </c>
      <c r="G598" s="25" t="n">
        <f aca="false">G597+E598*IF(D598&gt;0,(IF(A598&gt;Penalty!$B$19,Penalty!$I$5,0)+G597)/D598,0)</f>
        <v>46.6815525507708</v>
      </c>
    </row>
    <row r="599" customFormat="false" ht="15" hidden="false" customHeight="false" outlineLevel="0" collapsed="false">
      <c r="A599" s="23" t="n">
        <f aca="false">Penalty!$B$5+595</f>
        <v>46722</v>
      </c>
      <c r="B599" s="24" t="n">
        <f aca="false">IF(YEAR(A599)&gt;2026,Penalty!$B$16/100,IFERROR(INDEX(Rates!$B$4:$E$15,MATCH(YEAR(A599),Rates!$A$4:$A$15,0),ROUNDUP(MONTH(A599)/3,0))/100,0.03))</f>
        <v>0.07</v>
      </c>
      <c r="C599" s="25" t="n">
        <f aca="false">MAX(0,Penalty!$B$4-SUMIFS(Penalty!$C$10:$C$12,Penalty!$B$10:$B$12,"&lt;"&amp;A599))</f>
        <v>12000</v>
      </c>
      <c r="D599" s="25" t="n">
        <f aca="false">IF(A599&lt;=Penalty!$B$8,C599+F598+IF(A599&gt;Penalty!$B$19,Penalty!$I$5,0)+G598,0)</f>
        <v>0</v>
      </c>
      <c r="E599" s="26" t="n">
        <f aca="false">D599*B599/365</f>
        <v>0</v>
      </c>
      <c r="F599" s="25" t="n">
        <f aca="false">F598+E599*(1-IF(D599&gt;0,(IF(A599&gt;Penalty!$B$19,Penalty!$I$5,0)+G598)/D599,0))</f>
        <v>345.789278153858</v>
      </c>
      <c r="G599" s="25" t="n">
        <f aca="false">G598+E599*IF(D599&gt;0,(IF(A599&gt;Penalty!$B$19,Penalty!$I$5,0)+G598)/D599,0)</f>
        <v>46.6815525507708</v>
      </c>
    </row>
    <row r="600" customFormat="false" ht="15" hidden="false" customHeight="false" outlineLevel="0" collapsed="false">
      <c r="A600" s="23" t="n">
        <f aca="false">Penalty!$B$5+596</f>
        <v>46723</v>
      </c>
      <c r="B600" s="24" t="n">
        <f aca="false">IF(YEAR(A600)&gt;2026,Penalty!$B$16/100,IFERROR(INDEX(Rates!$B$4:$E$15,MATCH(YEAR(A600),Rates!$A$4:$A$15,0),ROUNDUP(MONTH(A600)/3,0))/100,0.03))</f>
        <v>0.07</v>
      </c>
      <c r="C600" s="25" t="n">
        <f aca="false">MAX(0,Penalty!$B$4-SUMIFS(Penalty!$C$10:$C$12,Penalty!$B$10:$B$12,"&lt;"&amp;A600))</f>
        <v>12000</v>
      </c>
      <c r="D600" s="25" t="n">
        <f aca="false">IF(A600&lt;=Penalty!$B$8,C600+F599+IF(A600&gt;Penalty!$B$19,Penalty!$I$5,0)+G599,0)</f>
        <v>0</v>
      </c>
      <c r="E600" s="26" t="n">
        <f aca="false">D600*B600/365</f>
        <v>0</v>
      </c>
      <c r="F600" s="25" t="n">
        <f aca="false">F599+E600*(1-IF(D600&gt;0,(IF(A600&gt;Penalty!$B$19,Penalty!$I$5,0)+G599)/D600,0))</f>
        <v>345.789278153858</v>
      </c>
      <c r="G600" s="25" t="n">
        <f aca="false">G599+E600*IF(D600&gt;0,(IF(A600&gt;Penalty!$B$19,Penalty!$I$5,0)+G599)/D600,0)</f>
        <v>46.6815525507708</v>
      </c>
    </row>
    <row r="601" customFormat="false" ht="15" hidden="false" customHeight="false" outlineLevel="0" collapsed="false">
      <c r="A601" s="23" t="n">
        <f aca="false">Penalty!$B$5+597</f>
        <v>46724</v>
      </c>
      <c r="B601" s="24" t="n">
        <f aca="false">IF(YEAR(A601)&gt;2026,Penalty!$B$16/100,IFERROR(INDEX(Rates!$B$4:$E$15,MATCH(YEAR(A601),Rates!$A$4:$A$15,0),ROUNDUP(MONTH(A601)/3,0))/100,0.03))</f>
        <v>0.07</v>
      </c>
      <c r="C601" s="25" t="n">
        <f aca="false">MAX(0,Penalty!$B$4-SUMIFS(Penalty!$C$10:$C$12,Penalty!$B$10:$B$12,"&lt;"&amp;A601))</f>
        <v>12000</v>
      </c>
      <c r="D601" s="25" t="n">
        <f aca="false">IF(A601&lt;=Penalty!$B$8,C601+F600+IF(A601&gt;Penalty!$B$19,Penalty!$I$5,0)+G600,0)</f>
        <v>0</v>
      </c>
      <c r="E601" s="26" t="n">
        <f aca="false">D601*B601/365</f>
        <v>0</v>
      </c>
      <c r="F601" s="25" t="n">
        <f aca="false">F600+E601*(1-IF(D601&gt;0,(IF(A601&gt;Penalty!$B$19,Penalty!$I$5,0)+G600)/D601,0))</f>
        <v>345.789278153858</v>
      </c>
      <c r="G601" s="25" t="n">
        <f aca="false">G600+E601*IF(D601&gt;0,(IF(A601&gt;Penalty!$B$19,Penalty!$I$5,0)+G600)/D601,0)</f>
        <v>46.6815525507708</v>
      </c>
    </row>
    <row r="602" customFormat="false" ht="15" hidden="false" customHeight="false" outlineLevel="0" collapsed="false">
      <c r="A602" s="23" t="n">
        <f aca="false">Penalty!$B$5+598</f>
        <v>46725</v>
      </c>
      <c r="B602" s="24" t="n">
        <f aca="false">IF(YEAR(A602)&gt;2026,Penalty!$B$16/100,IFERROR(INDEX(Rates!$B$4:$E$15,MATCH(YEAR(A602),Rates!$A$4:$A$15,0),ROUNDUP(MONTH(A602)/3,0))/100,0.03))</f>
        <v>0.07</v>
      </c>
      <c r="C602" s="25" t="n">
        <f aca="false">MAX(0,Penalty!$B$4-SUMIFS(Penalty!$C$10:$C$12,Penalty!$B$10:$B$12,"&lt;"&amp;A602))</f>
        <v>12000</v>
      </c>
      <c r="D602" s="25" t="n">
        <f aca="false">IF(A602&lt;=Penalty!$B$8,C602+F601+IF(A602&gt;Penalty!$B$19,Penalty!$I$5,0)+G601,0)</f>
        <v>0</v>
      </c>
      <c r="E602" s="26" t="n">
        <f aca="false">D602*B602/365</f>
        <v>0</v>
      </c>
      <c r="F602" s="25" t="n">
        <f aca="false">F601+E602*(1-IF(D602&gt;0,(IF(A602&gt;Penalty!$B$19,Penalty!$I$5,0)+G601)/D602,0))</f>
        <v>345.789278153858</v>
      </c>
      <c r="G602" s="25" t="n">
        <f aca="false">G601+E602*IF(D602&gt;0,(IF(A602&gt;Penalty!$B$19,Penalty!$I$5,0)+G601)/D602,0)</f>
        <v>46.6815525507708</v>
      </c>
    </row>
    <row r="603" customFormat="false" ht="15" hidden="false" customHeight="false" outlineLevel="0" collapsed="false">
      <c r="A603" s="23" t="n">
        <f aca="false">Penalty!$B$5+599</f>
        <v>46726</v>
      </c>
      <c r="B603" s="24" t="n">
        <f aca="false">IF(YEAR(A603)&gt;2026,Penalty!$B$16/100,IFERROR(INDEX(Rates!$B$4:$E$15,MATCH(YEAR(A603),Rates!$A$4:$A$15,0),ROUNDUP(MONTH(A603)/3,0))/100,0.03))</f>
        <v>0.07</v>
      </c>
      <c r="C603" s="25" t="n">
        <f aca="false">MAX(0,Penalty!$B$4-SUMIFS(Penalty!$C$10:$C$12,Penalty!$B$10:$B$12,"&lt;"&amp;A603))</f>
        <v>12000</v>
      </c>
      <c r="D603" s="25" t="n">
        <f aca="false">IF(A603&lt;=Penalty!$B$8,C603+F602+IF(A603&gt;Penalty!$B$19,Penalty!$I$5,0)+G602,0)</f>
        <v>0</v>
      </c>
      <c r="E603" s="26" t="n">
        <f aca="false">D603*B603/365</f>
        <v>0</v>
      </c>
      <c r="F603" s="25" t="n">
        <f aca="false">F602+E603*(1-IF(D603&gt;0,(IF(A603&gt;Penalty!$B$19,Penalty!$I$5,0)+G602)/D603,0))</f>
        <v>345.789278153858</v>
      </c>
      <c r="G603" s="25" t="n">
        <f aca="false">G602+E603*IF(D603&gt;0,(IF(A603&gt;Penalty!$B$19,Penalty!$I$5,0)+G602)/D603,0)</f>
        <v>46.6815525507708</v>
      </c>
    </row>
    <row r="604" customFormat="false" ht="15" hidden="false" customHeight="false" outlineLevel="0" collapsed="false">
      <c r="A604" s="23" t="n">
        <f aca="false">Penalty!$B$5+600</f>
        <v>46727</v>
      </c>
      <c r="B604" s="24" t="n">
        <f aca="false">IF(YEAR(A604)&gt;2026,Penalty!$B$16/100,IFERROR(INDEX(Rates!$B$4:$E$15,MATCH(YEAR(A604),Rates!$A$4:$A$15,0),ROUNDUP(MONTH(A604)/3,0))/100,0.03))</f>
        <v>0.07</v>
      </c>
      <c r="C604" s="25" t="n">
        <f aca="false">MAX(0,Penalty!$B$4-SUMIFS(Penalty!$C$10:$C$12,Penalty!$B$10:$B$12,"&lt;"&amp;A604))</f>
        <v>12000</v>
      </c>
      <c r="D604" s="25" t="n">
        <f aca="false">IF(A604&lt;=Penalty!$B$8,C604+F603+IF(A604&gt;Penalty!$B$19,Penalty!$I$5,0)+G603,0)</f>
        <v>0</v>
      </c>
      <c r="E604" s="26" t="n">
        <f aca="false">D604*B604/365</f>
        <v>0</v>
      </c>
      <c r="F604" s="25" t="n">
        <f aca="false">F603+E604*(1-IF(D604&gt;0,(IF(A604&gt;Penalty!$B$19,Penalty!$I$5,0)+G603)/D604,0))</f>
        <v>345.789278153858</v>
      </c>
      <c r="G604" s="25" t="n">
        <f aca="false">G603+E604*IF(D604&gt;0,(IF(A604&gt;Penalty!$B$19,Penalty!$I$5,0)+G603)/D604,0)</f>
        <v>46.6815525507708</v>
      </c>
    </row>
    <row r="605" customFormat="false" ht="15" hidden="false" customHeight="false" outlineLevel="0" collapsed="false">
      <c r="A605" s="23" t="n">
        <f aca="false">Penalty!$B$5+601</f>
        <v>46728</v>
      </c>
      <c r="B605" s="24" t="n">
        <f aca="false">IF(YEAR(A605)&gt;2026,Penalty!$B$16/100,IFERROR(INDEX(Rates!$B$4:$E$15,MATCH(YEAR(A605),Rates!$A$4:$A$15,0),ROUNDUP(MONTH(A605)/3,0))/100,0.03))</f>
        <v>0.07</v>
      </c>
      <c r="C605" s="25" t="n">
        <f aca="false">MAX(0,Penalty!$B$4-SUMIFS(Penalty!$C$10:$C$12,Penalty!$B$10:$B$12,"&lt;"&amp;A605))</f>
        <v>12000</v>
      </c>
      <c r="D605" s="25" t="n">
        <f aca="false">IF(A605&lt;=Penalty!$B$8,C605+F604+IF(A605&gt;Penalty!$B$19,Penalty!$I$5,0)+G604,0)</f>
        <v>0</v>
      </c>
      <c r="E605" s="26" t="n">
        <f aca="false">D605*B605/365</f>
        <v>0</v>
      </c>
      <c r="F605" s="25" t="n">
        <f aca="false">F604+E605*(1-IF(D605&gt;0,(IF(A605&gt;Penalty!$B$19,Penalty!$I$5,0)+G604)/D605,0))</f>
        <v>345.789278153858</v>
      </c>
      <c r="G605" s="25" t="n">
        <f aca="false">G604+E605*IF(D605&gt;0,(IF(A605&gt;Penalty!$B$19,Penalty!$I$5,0)+G604)/D605,0)</f>
        <v>46.6815525507708</v>
      </c>
    </row>
    <row r="606" customFormat="false" ht="15" hidden="false" customHeight="false" outlineLevel="0" collapsed="false">
      <c r="A606" s="23" t="n">
        <f aca="false">Penalty!$B$5+602</f>
        <v>46729</v>
      </c>
      <c r="B606" s="24" t="n">
        <f aca="false">IF(YEAR(A606)&gt;2026,Penalty!$B$16/100,IFERROR(INDEX(Rates!$B$4:$E$15,MATCH(YEAR(A606),Rates!$A$4:$A$15,0),ROUNDUP(MONTH(A606)/3,0))/100,0.03))</f>
        <v>0.07</v>
      </c>
      <c r="C606" s="25" t="n">
        <f aca="false">MAX(0,Penalty!$B$4-SUMIFS(Penalty!$C$10:$C$12,Penalty!$B$10:$B$12,"&lt;"&amp;A606))</f>
        <v>12000</v>
      </c>
      <c r="D606" s="25" t="n">
        <f aca="false">IF(A606&lt;=Penalty!$B$8,C606+F605+IF(A606&gt;Penalty!$B$19,Penalty!$I$5,0)+G605,0)</f>
        <v>0</v>
      </c>
      <c r="E606" s="26" t="n">
        <f aca="false">D606*B606/365</f>
        <v>0</v>
      </c>
      <c r="F606" s="25" t="n">
        <f aca="false">F605+E606*(1-IF(D606&gt;0,(IF(A606&gt;Penalty!$B$19,Penalty!$I$5,0)+G605)/D606,0))</f>
        <v>345.789278153858</v>
      </c>
      <c r="G606" s="25" t="n">
        <f aca="false">G605+E606*IF(D606&gt;0,(IF(A606&gt;Penalty!$B$19,Penalty!$I$5,0)+G605)/D606,0)</f>
        <v>46.6815525507708</v>
      </c>
    </row>
    <row r="607" customFormat="false" ht="15" hidden="false" customHeight="false" outlineLevel="0" collapsed="false">
      <c r="A607" s="23" t="n">
        <f aca="false">Penalty!$B$5+603</f>
        <v>46730</v>
      </c>
      <c r="B607" s="24" t="n">
        <f aca="false">IF(YEAR(A607)&gt;2026,Penalty!$B$16/100,IFERROR(INDEX(Rates!$B$4:$E$15,MATCH(YEAR(A607),Rates!$A$4:$A$15,0),ROUNDUP(MONTH(A607)/3,0))/100,0.03))</f>
        <v>0.07</v>
      </c>
      <c r="C607" s="25" t="n">
        <f aca="false">MAX(0,Penalty!$B$4-SUMIFS(Penalty!$C$10:$C$12,Penalty!$B$10:$B$12,"&lt;"&amp;A607))</f>
        <v>12000</v>
      </c>
      <c r="D607" s="25" t="n">
        <f aca="false">IF(A607&lt;=Penalty!$B$8,C607+F606+IF(A607&gt;Penalty!$B$19,Penalty!$I$5,0)+G606,0)</f>
        <v>0</v>
      </c>
      <c r="E607" s="26" t="n">
        <f aca="false">D607*B607/365</f>
        <v>0</v>
      </c>
      <c r="F607" s="25" t="n">
        <f aca="false">F606+E607*(1-IF(D607&gt;0,(IF(A607&gt;Penalty!$B$19,Penalty!$I$5,0)+G606)/D607,0))</f>
        <v>345.789278153858</v>
      </c>
      <c r="G607" s="25" t="n">
        <f aca="false">G606+E607*IF(D607&gt;0,(IF(A607&gt;Penalty!$B$19,Penalty!$I$5,0)+G606)/D607,0)</f>
        <v>46.6815525507708</v>
      </c>
    </row>
    <row r="608" customFormat="false" ht="15" hidden="false" customHeight="false" outlineLevel="0" collapsed="false">
      <c r="A608" s="23" t="n">
        <f aca="false">Penalty!$B$5+604</f>
        <v>46731</v>
      </c>
      <c r="B608" s="24" t="n">
        <f aca="false">IF(YEAR(A608)&gt;2026,Penalty!$B$16/100,IFERROR(INDEX(Rates!$B$4:$E$15,MATCH(YEAR(A608),Rates!$A$4:$A$15,0),ROUNDUP(MONTH(A608)/3,0))/100,0.03))</f>
        <v>0.07</v>
      </c>
      <c r="C608" s="25" t="n">
        <f aca="false">MAX(0,Penalty!$B$4-SUMIFS(Penalty!$C$10:$C$12,Penalty!$B$10:$B$12,"&lt;"&amp;A608))</f>
        <v>12000</v>
      </c>
      <c r="D608" s="25" t="n">
        <f aca="false">IF(A608&lt;=Penalty!$B$8,C608+F607+IF(A608&gt;Penalty!$B$19,Penalty!$I$5,0)+G607,0)</f>
        <v>0</v>
      </c>
      <c r="E608" s="26" t="n">
        <f aca="false">D608*B608/365</f>
        <v>0</v>
      </c>
      <c r="F608" s="25" t="n">
        <f aca="false">F607+E608*(1-IF(D608&gt;0,(IF(A608&gt;Penalty!$B$19,Penalty!$I$5,0)+G607)/D608,0))</f>
        <v>345.789278153858</v>
      </c>
      <c r="G608" s="25" t="n">
        <f aca="false">G607+E608*IF(D608&gt;0,(IF(A608&gt;Penalty!$B$19,Penalty!$I$5,0)+G607)/D608,0)</f>
        <v>46.6815525507708</v>
      </c>
    </row>
    <row r="609" customFormat="false" ht="15" hidden="false" customHeight="false" outlineLevel="0" collapsed="false">
      <c r="A609" s="23" t="n">
        <f aca="false">Penalty!$B$5+605</f>
        <v>46732</v>
      </c>
      <c r="B609" s="24" t="n">
        <f aca="false">IF(YEAR(A609)&gt;2026,Penalty!$B$16/100,IFERROR(INDEX(Rates!$B$4:$E$15,MATCH(YEAR(A609),Rates!$A$4:$A$15,0),ROUNDUP(MONTH(A609)/3,0))/100,0.03))</f>
        <v>0.07</v>
      </c>
      <c r="C609" s="25" t="n">
        <f aca="false">MAX(0,Penalty!$B$4-SUMIFS(Penalty!$C$10:$C$12,Penalty!$B$10:$B$12,"&lt;"&amp;A609))</f>
        <v>12000</v>
      </c>
      <c r="D609" s="25" t="n">
        <f aca="false">IF(A609&lt;=Penalty!$B$8,C609+F608+IF(A609&gt;Penalty!$B$19,Penalty!$I$5,0)+G608,0)</f>
        <v>0</v>
      </c>
      <c r="E609" s="26" t="n">
        <f aca="false">D609*B609/365</f>
        <v>0</v>
      </c>
      <c r="F609" s="25" t="n">
        <f aca="false">F608+E609*(1-IF(D609&gt;0,(IF(A609&gt;Penalty!$B$19,Penalty!$I$5,0)+G608)/D609,0))</f>
        <v>345.789278153858</v>
      </c>
      <c r="G609" s="25" t="n">
        <f aca="false">G608+E609*IF(D609&gt;0,(IF(A609&gt;Penalty!$B$19,Penalty!$I$5,0)+G608)/D609,0)</f>
        <v>46.6815525507708</v>
      </c>
    </row>
    <row r="610" customFormat="false" ht="15" hidden="false" customHeight="false" outlineLevel="0" collapsed="false">
      <c r="A610" s="23" t="n">
        <f aca="false">Penalty!$B$5+606</f>
        <v>46733</v>
      </c>
      <c r="B610" s="24" t="n">
        <f aca="false">IF(YEAR(A610)&gt;2026,Penalty!$B$16/100,IFERROR(INDEX(Rates!$B$4:$E$15,MATCH(YEAR(A610),Rates!$A$4:$A$15,0),ROUNDUP(MONTH(A610)/3,0))/100,0.03))</f>
        <v>0.07</v>
      </c>
      <c r="C610" s="25" t="n">
        <f aca="false">MAX(0,Penalty!$B$4-SUMIFS(Penalty!$C$10:$C$12,Penalty!$B$10:$B$12,"&lt;"&amp;A610))</f>
        <v>12000</v>
      </c>
      <c r="D610" s="25" t="n">
        <f aca="false">IF(A610&lt;=Penalty!$B$8,C610+F609+IF(A610&gt;Penalty!$B$19,Penalty!$I$5,0)+G609,0)</f>
        <v>0</v>
      </c>
      <c r="E610" s="26" t="n">
        <f aca="false">D610*B610/365</f>
        <v>0</v>
      </c>
      <c r="F610" s="25" t="n">
        <f aca="false">F609+E610*(1-IF(D610&gt;0,(IF(A610&gt;Penalty!$B$19,Penalty!$I$5,0)+G609)/D610,0))</f>
        <v>345.789278153858</v>
      </c>
      <c r="G610" s="25" t="n">
        <f aca="false">G609+E610*IF(D610&gt;0,(IF(A610&gt;Penalty!$B$19,Penalty!$I$5,0)+G609)/D610,0)</f>
        <v>46.6815525507708</v>
      </c>
    </row>
    <row r="611" customFormat="false" ht="15" hidden="false" customHeight="false" outlineLevel="0" collapsed="false">
      <c r="A611" s="23" t="n">
        <f aca="false">Penalty!$B$5+607</f>
        <v>46734</v>
      </c>
      <c r="B611" s="24" t="n">
        <f aca="false">IF(YEAR(A611)&gt;2026,Penalty!$B$16/100,IFERROR(INDEX(Rates!$B$4:$E$15,MATCH(YEAR(A611),Rates!$A$4:$A$15,0),ROUNDUP(MONTH(A611)/3,0))/100,0.03))</f>
        <v>0.07</v>
      </c>
      <c r="C611" s="25" t="n">
        <f aca="false">MAX(0,Penalty!$B$4-SUMIFS(Penalty!$C$10:$C$12,Penalty!$B$10:$B$12,"&lt;"&amp;A611))</f>
        <v>12000</v>
      </c>
      <c r="D611" s="25" t="n">
        <f aca="false">IF(A611&lt;=Penalty!$B$8,C611+F610+IF(A611&gt;Penalty!$B$19,Penalty!$I$5,0)+G610,0)</f>
        <v>0</v>
      </c>
      <c r="E611" s="26" t="n">
        <f aca="false">D611*B611/365</f>
        <v>0</v>
      </c>
      <c r="F611" s="25" t="n">
        <f aca="false">F610+E611*(1-IF(D611&gt;0,(IF(A611&gt;Penalty!$B$19,Penalty!$I$5,0)+G610)/D611,0))</f>
        <v>345.789278153858</v>
      </c>
      <c r="G611" s="25" t="n">
        <f aca="false">G610+E611*IF(D611&gt;0,(IF(A611&gt;Penalty!$B$19,Penalty!$I$5,0)+G610)/D611,0)</f>
        <v>46.6815525507708</v>
      </c>
    </row>
    <row r="612" customFormat="false" ht="15" hidden="false" customHeight="false" outlineLevel="0" collapsed="false">
      <c r="A612" s="23" t="n">
        <f aca="false">Penalty!$B$5+608</f>
        <v>46735</v>
      </c>
      <c r="B612" s="24" t="n">
        <f aca="false">IF(YEAR(A612)&gt;2026,Penalty!$B$16/100,IFERROR(INDEX(Rates!$B$4:$E$15,MATCH(YEAR(A612),Rates!$A$4:$A$15,0),ROUNDUP(MONTH(A612)/3,0))/100,0.03))</f>
        <v>0.07</v>
      </c>
      <c r="C612" s="25" t="n">
        <f aca="false">MAX(0,Penalty!$B$4-SUMIFS(Penalty!$C$10:$C$12,Penalty!$B$10:$B$12,"&lt;"&amp;A612))</f>
        <v>12000</v>
      </c>
      <c r="D612" s="25" t="n">
        <f aca="false">IF(A612&lt;=Penalty!$B$8,C612+F611+IF(A612&gt;Penalty!$B$19,Penalty!$I$5,0)+G611,0)</f>
        <v>0</v>
      </c>
      <c r="E612" s="26" t="n">
        <f aca="false">D612*B612/365</f>
        <v>0</v>
      </c>
      <c r="F612" s="25" t="n">
        <f aca="false">F611+E612*(1-IF(D612&gt;0,(IF(A612&gt;Penalty!$B$19,Penalty!$I$5,0)+G611)/D612,0))</f>
        <v>345.789278153858</v>
      </c>
      <c r="G612" s="25" t="n">
        <f aca="false">G611+E612*IF(D612&gt;0,(IF(A612&gt;Penalty!$B$19,Penalty!$I$5,0)+G611)/D612,0)</f>
        <v>46.6815525507708</v>
      </c>
    </row>
    <row r="613" customFormat="false" ht="15" hidden="false" customHeight="false" outlineLevel="0" collapsed="false">
      <c r="A613" s="23" t="n">
        <f aca="false">Penalty!$B$5+609</f>
        <v>46736</v>
      </c>
      <c r="B613" s="24" t="n">
        <f aca="false">IF(YEAR(A613)&gt;2026,Penalty!$B$16/100,IFERROR(INDEX(Rates!$B$4:$E$15,MATCH(YEAR(A613),Rates!$A$4:$A$15,0),ROUNDUP(MONTH(A613)/3,0))/100,0.03))</f>
        <v>0.07</v>
      </c>
      <c r="C613" s="25" t="n">
        <f aca="false">MAX(0,Penalty!$B$4-SUMIFS(Penalty!$C$10:$C$12,Penalty!$B$10:$B$12,"&lt;"&amp;A613))</f>
        <v>12000</v>
      </c>
      <c r="D613" s="25" t="n">
        <f aca="false">IF(A613&lt;=Penalty!$B$8,C613+F612+IF(A613&gt;Penalty!$B$19,Penalty!$I$5,0)+G612,0)</f>
        <v>0</v>
      </c>
      <c r="E613" s="26" t="n">
        <f aca="false">D613*B613/365</f>
        <v>0</v>
      </c>
      <c r="F613" s="25" t="n">
        <f aca="false">F612+E613*(1-IF(D613&gt;0,(IF(A613&gt;Penalty!$B$19,Penalty!$I$5,0)+G612)/D613,0))</f>
        <v>345.789278153858</v>
      </c>
      <c r="G613" s="25" t="n">
        <f aca="false">G612+E613*IF(D613&gt;0,(IF(A613&gt;Penalty!$B$19,Penalty!$I$5,0)+G612)/D613,0)</f>
        <v>46.6815525507708</v>
      </c>
    </row>
    <row r="614" customFormat="false" ht="15" hidden="false" customHeight="false" outlineLevel="0" collapsed="false">
      <c r="A614" s="23" t="n">
        <f aca="false">Penalty!$B$5+610</f>
        <v>46737</v>
      </c>
      <c r="B614" s="24" t="n">
        <f aca="false">IF(YEAR(A614)&gt;2026,Penalty!$B$16/100,IFERROR(INDEX(Rates!$B$4:$E$15,MATCH(YEAR(A614),Rates!$A$4:$A$15,0),ROUNDUP(MONTH(A614)/3,0))/100,0.03))</f>
        <v>0.07</v>
      </c>
      <c r="C614" s="25" t="n">
        <f aca="false">MAX(0,Penalty!$B$4-SUMIFS(Penalty!$C$10:$C$12,Penalty!$B$10:$B$12,"&lt;"&amp;A614))</f>
        <v>12000</v>
      </c>
      <c r="D614" s="25" t="n">
        <f aca="false">IF(A614&lt;=Penalty!$B$8,C614+F613+IF(A614&gt;Penalty!$B$19,Penalty!$I$5,0)+G613,0)</f>
        <v>0</v>
      </c>
      <c r="E614" s="26" t="n">
        <f aca="false">D614*B614/365</f>
        <v>0</v>
      </c>
      <c r="F614" s="25" t="n">
        <f aca="false">F613+E614*(1-IF(D614&gt;0,(IF(A614&gt;Penalty!$B$19,Penalty!$I$5,0)+G613)/D614,0))</f>
        <v>345.789278153858</v>
      </c>
      <c r="G614" s="25" t="n">
        <f aca="false">G613+E614*IF(D614&gt;0,(IF(A614&gt;Penalty!$B$19,Penalty!$I$5,0)+G613)/D614,0)</f>
        <v>46.6815525507708</v>
      </c>
    </row>
    <row r="615" customFormat="false" ht="15" hidden="false" customHeight="false" outlineLevel="0" collapsed="false">
      <c r="A615" s="23" t="n">
        <f aca="false">Penalty!$B$5+611</f>
        <v>46738</v>
      </c>
      <c r="B615" s="24" t="n">
        <f aca="false">IF(YEAR(A615)&gt;2026,Penalty!$B$16/100,IFERROR(INDEX(Rates!$B$4:$E$15,MATCH(YEAR(A615),Rates!$A$4:$A$15,0),ROUNDUP(MONTH(A615)/3,0))/100,0.03))</f>
        <v>0.07</v>
      </c>
      <c r="C615" s="25" t="n">
        <f aca="false">MAX(0,Penalty!$B$4-SUMIFS(Penalty!$C$10:$C$12,Penalty!$B$10:$B$12,"&lt;"&amp;A615))</f>
        <v>12000</v>
      </c>
      <c r="D615" s="25" t="n">
        <f aca="false">IF(A615&lt;=Penalty!$B$8,C615+F614+IF(A615&gt;Penalty!$B$19,Penalty!$I$5,0)+G614,0)</f>
        <v>0</v>
      </c>
      <c r="E615" s="26" t="n">
        <f aca="false">D615*B615/365</f>
        <v>0</v>
      </c>
      <c r="F615" s="25" t="n">
        <f aca="false">F614+E615*(1-IF(D615&gt;0,(IF(A615&gt;Penalty!$B$19,Penalty!$I$5,0)+G614)/D615,0))</f>
        <v>345.789278153858</v>
      </c>
      <c r="G615" s="25" t="n">
        <f aca="false">G614+E615*IF(D615&gt;0,(IF(A615&gt;Penalty!$B$19,Penalty!$I$5,0)+G614)/D615,0)</f>
        <v>46.6815525507708</v>
      </c>
    </row>
    <row r="616" customFormat="false" ht="15" hidden="false" customHeight="false" outlineLevel="0" collapsed="false">
      <c r="A616" s="23" t="n">
        <f aca="false">Penalty!$B$5+612</f>
        <v>46739</v>
      </c>
      <c r="B616" s="24" t="n">
        <f aca="false">IF(YEAR(A616)&gt;2026,Penalty!$B$16/100,IFERROR(INDEX(Rates!$B$4:$E$15,MATCH(YEAR(A616),Rates!$A$4:$A$15,0),ROUNDUP(MONTH(A616)/3,0))/100,0.03))</f>
        <v>0.07</v>
      </c>
      <c r="C616" s="25" t="n">
        <f aca="false">MAX(0,Penalty!$B$4-SUMIFS(Penalty!$C$10:$C$12,Penalty!$B$10:$B$12,"&lt;"&amp;A616))</f>
        <v>12000</v>
      </c>
      <c r="D616" s="25" t="n">
        <f aca="false">IF(A616&lt;=Penalty!$B$8,C616+F615+IF(A616&gt;Penalty!$B$19,Penalty!$I$5,0)+G615,0)</f>
        <v>0</v>
      </c>
      <c r="E616" s="26" t="n">
        <f aca="false">D616*B616/365</f>
        <v>0</v>
      </c>
      <c r="F616" s="25" t="n">
        <f aca="false">F615+E616*(1-IF(D616&gt;0,(IF(A616&gt;Penalty!$B$19,Penalty!$I$5,0)+G615)/D616,0))</f>
        <v>345.789278153858</v>
      </c>
      <c r="G616" s="25" t="n">
        <f aca="false">G615+E616*IF(D616&gt;0,(IF(A616&gt;Penalty!$B$19,Penalty!$I$5,0)+G615)/D616,0)</f>
        <v>46.6815525507708</v>
      </c>
    </row>
    <row r="617" customFormat="false" ht="15" hidden="false" customHeight="false" outlineLevel="0" collapsed="false">
      <c r="A617" s="23" t="n">
        <f aca="false">Penalty!$B$5+613</f>
        <v>46740</v>
      </c>
      <c r="B617" s="24" t="n">
        <f aca="false">IF(YEAR(A617)&gt;2026,Penalty!$B$16/100,IFERROR(INDEX(Rates!$B$4:$E$15,MATCH(YEAR(A617),Rates!$A$4:$A$15,0),ROUNDUP(MONTH(A617)/3,0))/100,0.03))</f>
        <v>0.07</v>
      </c>
      <c r="C617" s="25" t="n">
        <f aca="false">MAX(0,Penalty!$B$4-SUMIFS(Penalty!$C$10:$C$12,Penalty!$B$10:$B$12,"&lt;"&amp;A617))</f>
        <v>12000</v>
      </c>
      <c r="D617" s="25" t="n">
        <f aca="false">IF(A617&lt;=Penalty!$B$8,C617+F616+IF(A617&gt;Penalty!$B$19,Penalty!$I$5,0)+G616,0)</f>
        <v>0</v>
      </c>
      <c r="E617" s="26" t="n">
        <f aca="false">D617*B617/365</f>
        <v>0</v>
      </c>
      <c r="F617" s="25" t="n">
        <f aca="false">F616+E617*(1-IF(D617&gt;0,(IF(A617&gt;Penalty!$B$19,Penalty!$I$5,0)+G616)/D617,0))</f>
        <v>345.789278153858</v>
      </c>
      <c r="G617" s="25" t="n">
        <f aca="false">G616+E617*IF(D617&gt;0,(IF(A617&gt;Penalty!$B$19,Penalty!$I$5,0)+G616)/D617,0)</f>
        <v>46.6815525507708</v>
      </c>
    </row>
    <row r="618" customFormat="false" ht="15" hidden="false" customHeight="false" outlineLevel="0" collapsed="false">
      <c r="A618" s="23" t="n">
        <f aca="false">Penalty!$B$5+614</f>
        <v>46741</v>
      </c>
      <c r="B618" s="24" t="n">
        <f aca="false">IF(YEAR(A618)&gt;2026,Penalty!$B$16/100,IFERROR(INDEX(Rates!$B$4:$E$15,MATCH(YEAR(A618),Rates!$A$4:$A$15,0),ROUNDUP(MONTH(A618)/3,0))/100,0.03))</f>
        <v>0.07</v>
      </c>
      <c r="C618" s="25" t="n">
        <f aca="false">MAX(0,Penalty!$B$4-SUMIFS(Penalty!$C$10:$C$12,Penalty!$B$10:$B$12,"&lt;"&amp;A618))</f>
        <v>12000</v>
      </c>
      <c r="D618" s="25" t="n">
        <f aca="false">IF(A618&lt;=Penalty!$B$8,C618+F617+IF(A618&gt;Penalty!$B$19,Penalty!$I$5,0)+G617,0)</f>
        <v>0</v>
      </c>
      <c r="E618" s="26" t="n">
        <f aca="false">D618*B618/365</f>
        <v>0</v>
      </c>
      <c r="F618" s="25" t="n">
        <f aca="false">F617+E618*(1-IF(D618&gt;0,(IF(A618&gt;Penalty!$B$19,Penalty!$I$5,0)+G617)/D618,0))</f>
        <v>345.789278153858</v>
      </c>
      <c r="G618" s="25" t="n">
        <f aca="false">G617+E618*IF(D618&gt;0,(IF(A618&gt;Penalty!$B$19,Penalty!$I$5,0)+G617)/D618,0)</f>
        <v>46.6815525507708</v>
      </c>
    </row>
    <row r="619" customFormat="false" ht="15" hidden="false" customHeight="false" outlineLevel="0" collapsed="false">
      <c r="A619" s="23" t="n">
        <f aca="false">Penalty!$B$5+615</f>
        <v>46742</v>
      </c>
      <c r="B619" s="24" t="n">
        <f aca="false">IF(YEAR(A619)&gt;2026,Penalty!$B$16/100,IFERROR(INDEX(Rates!$B$4:$E$15,MATCH(YEAR(A619),Rates!$A$4:$A$15,0),ROUNDUP(MONTH(A619)/3,0))/100,0.03))</f>
        <v>0.07</v>
      </c>
      <c r="C619" s="25" t="n">
        <f aca="false">MAX(0,Penalty!$B$4-SUMIFS(Penalty!$C$10:$C$12,Penalty!$B$10:$B$12,"&lt;"&amp;A619))</f>
        <v>12000</v>
      </c>
      <c r="D619" s="25" t="n">
        <f aca="false">IF(A619&lt;=Penalty!$B$8,C619+F618+IF(A619&gt;Penalty!$B$19,Penalty!$I$5,0)+G618,0)</f>
        <v>0</v>
      </c>
      <c r="E619" s="26" t="n">
        <f aca="false">D619*B619/365</f>
        <v>0</v>
      </c>
      <c r="F619" s="25" t="n">
        <f aca="false">F618+E619*(1-IF(D619&gt;0,(IF(A619&gt;Penalty!$B$19,Penalty!$I$5,0)+G618)/D619,0))</f>
        <v>345.789278153858</v>
      </c>
      <c r="G619" s="25" t="n">
        <f aca="false">G618+E619*IF(D619&gt;0,(IF(A619&gt;Penalty!$B$19,Penalty!$I$5,0)+G618)/D619,0)</f>
        <v>46.6815525507708</v>
      </c>
    </row>
    <row r="620" customFormat="false" ht="15" hidden="false" customHeight="false" outlineLevel="0" collapsed="false">
      <c r="A620" s="23" t="n">
        <f aca="false">Penalty!$B$5+616</f>
        <v>46743</v>
      </c>
      <c r="B620" s="24" t="n">
        <f aca="false">IF(YEAR(A620)&gt;2026,Penalty!$B$16/100,IFERROR(INDEX(Rates!$B$4:$E$15,MATCH(YEAR(A620),Rates!$A$4:$A$15,0),ROUNDUP(MONTH(A620)/3,0))/100,0.03))</f>
        <v>0.07</v>
      </c>
      <c r="C620" s="25" t="n">
        <f aca="false">MAX(0,Penalty!$B$4-SUMIFS(Penalty!$C$10:$C$12,Penalty!$B$10:$B$12,"&lt;"&amp;A620))</f>
        <v>12000</v>
      </c>
      <c r="D620" s="25" t="n">
        <f aca="false">IF(A620&lt;=Penalty!$B$8,C620+F619+IF(A620&gt;Penalty!$B$19,Penalty!$I$5,0)+G619,0)</f>
        <v>0</v>
      </c>
      <c r="E620" s="26" t="n">
        <f aca="false">D620*B620/365</f>
        <v>0</v>
      </c>
      <c r="F620" s="25" t="n">
        <f aca="false">F619+E620*(1-IF(D620&gt;0,(IF(A620&gt;Penalty!$B$19,Penalty!$I$5,0)+G619)/D620,0))</f>
        <v>345.789278153858</v>
      </c>
      <c r="G620" s="25" t="n">
        <f aca="false">G619+E620*IF(D620&gt;0,(IF(A620&gt;Penalty!$B$19,Penalty!$I$5,0)+G619)/D620,0)</f>
        <v>46.6815525507708</v>
      </c>
    </row>
    <row r="621" customFormat="false" ht="15" hidden="false" customHeight="false" outlineLevel="0" collapsed="false">
      <c r="A621" s="23" t="n">
        <f aca="false">Penalty!$B$5+617</f>
        <v>46744</v>
      </c>
      <c r="B621" s="24" t="n">
        <f aca="false">IF(YEAR(A621)&gt;2026,Penalty!$B$16/100,IFERROR(INDEX(Rates!$B$4:$E$15,MATCH(YEAR(A621),Rates!$A$4:$A$15,0),ROUNDUP(MONTH(A621)/3,0))/100,0.03))</f>
        <v>0.07</v>
      </c>
      <c r="C621" s="25" t="n">
        <f aca="false">MAX(0,Penalty!$B$4-SUMIFS(Penalty!$C$10:$C$12,Penalty!$B$10:$B$12,"&lt;"&amp;A621))</f>
        <v>12000</v>
      </c>
      <c r="D621" s="25" t="n">
        <f aca="false">IF(A621&lt;=Penalty!$B$8,C621+F620+IF(A621&gt;Penalty!$B$19,Penalty!$I$5,0)+G620,0)</f>
        <v>0</v>
      </c>
      <c r="E621" s="26" t="n">
        <f aca="false">D621*B621/365</f>
        <v>0</v>
      </c>
      <c r="F621" s="25" t="n">
        <f aca="false">F620+E621*(1-IF(D621&gt;0,(IF(A621&gt;Penalty!$B$19,Penalty!$I$5,0)+G620)/D621,0))</f>
        <v>345.789278153858</v>
      </c>
      <c r="G621" s="25" t="n">
        <f aca="false">G620+E621*IF(D621&gt;0,(IF(A621&gt;Penalty!$B$19,Penalty!$I$5,0)+G620)/D621,0)</f>
        <v>46.6815525507708</v>
      </c>
    </row>
    <row r="622" customFormat="false" ht="15" hidden="false" customHeight="false" outlineLevel="0" collapsed="false">
      <c r="A622" s="23" t="n">
        <f aca="false">Penalty!$B$5+618</f>
        <v>46745</v>
      </c>
      <c r="B622" s="24" t="n">
        <f aca="false">IF(YEAR(A622)&gt;2026,Penalty!$B$16/100,IFERROR(INDEX(Rates!$B$4:$E$15,MATCH(YEAR(A622),Rates!$A$4:$A$15,0),ROUNDUP(MONTH(A622)/3,0))/100,0.03))</f>
        <v>0.07</v>
      </c>
      <c r="C622" s="25" t="n">
        <f aca="false">MAX(0,Penalty!$B$4-SUMIFS(Penalty!$C$10:$C$12,Penalty!$B$10:$B$12,"&lt;"&amp;A622))</f>
        <v>12000</v>
      </c>
      <c r="D622" s="25" t="n">
        <f aca="false">IF(A622&lt;=Penalty!$B$8,C622+F621+IF(A622&gt;Penalty!$B$19,Penalty!$I$5,0)+G621,0)</f>
        <v>0</v>
      </c>
      <c r="E622" s="26" t="n">
        <f aca="false">D622*B622/365</f>
        <v>0</v>
      </c>
      <c r="F622" s="25" t="n">
        <f aca="false">F621+E622*(1-IF(D622&gt;0,(IF(A622&gt;Penalty!$B$19,Penalty!$I$5,0)+G621)/D622,0))</f>
        <v>345.789278153858</v>
      </c>
      <c r="G622" s="25" t="n">
        <f aca="false">G621+E622*IF(D622&gt;0,(IF(A622&gt;Penalty!$B$19,Penalty!$I$5,0)+G621)/D622,0)</f>
        <v>46.6815525507708</v>
      </c>
    </row>
    <row r="623" customFormat="false" ht="15" hidden="false" customHeight="false" outlineLevel="0" collapsed="false">
      <c r="A623" s="23" t="n">
        <f aca="false">Penalty!$B$5+619</f>
        <v>46746</v>
      </c>
      <c r="B623" s="24" t="n">
        <f aca="false">IF(YEAR(A623)&gt;2026,Penalty!$B$16/100,IFERROR(INDEX(Rates!$B$4:$E$15,MATCH(YEAR(A623),Rates!$A$4:$A$15,0),ROUNDUP(MONTH(A623)/3,0))/100,0.03))</f>
        <v>0.07</v>
      </c>
      <c r="C623" s="25" t="n">
        <f aca="false">MAX(0,Penalty!$B$4-SUMIFS(Penalty!$C$10:$C$12,Penalty!$B$10:$B$12,"&lt;"&amp;A623))</f>
        <v>12000</v>
      </c>
      <c r="D623" s="25" t="n">
        <f aca="false">IF(A623&lt;=Penalty!$B$8,C623+F622+IF(A623&gt;Penalty!$B$19,Penalty!$I$5,0)+G622,0)</f>
        <v>0</v>
      </c>
      <c r="E623" s="26" t="n">
        <f aca="false">D623*B623/365</f>
        <v>0</v>
      </c>
      <c r="F623" s="25" t="n">
        <f aca="false">F622+E623*(1-IF(D623&gt;0,(IF(A623&gt;Penalty!$B$19,Penalty!$I$5,0)+G622)/D623,0))</f>
        <v>345.789278153858</v>
      </c>
      <c r="G623" s="25" t="n">
        <f aca="false">G622+E623*IF(D623&gt;0,(IF(A623&gt;Penalty!$B$19,Penalty!$I$5,0)+G622)/D623,0)</f>
        <v>46.6815525507708</v>
      </c>
    </row>
    <row r="624" customFormat="false" ht="15" hidden="false" customHeight="false" outlineLevel="0" collapsed="false">
      <c r="A624" s="23" t="n">
        <f aca="false">Penalty!$B$5+620</f>
        <v>46747</v>
      </c>
      <c r="B624" s="24" t="n">
        <f aca="false">IF(YEAR(A624)&gt;2026,Penalty!$B$16/100,IFERROR(INDEX(Rates!$B$4:$E$15,MATCH(YEAR(A624),Rates!$A$4:$A$15,0),ROUNDUP(MONTH(A624)/3,0))/100,0.03))</f>
        <v>0.07</v>
      </c>
      <c r="C624" s="25" t="n">
        <f aca="false">MAX(0,Penalty!$B$4-SUMIFS(Penalty!$C$10:$C$12,Penalty!$B$10:$B$12,"&lt;"&amp;A624))</f>
        <v>12000</v>
      </c>
      <c r="D624" s="25" t="n">
        <f aca="false">IF(A624&lt;=Penalty!$B$8,C624+F623+IF(A624&gt;Penalty!$B$19,Penalty!$I$5,0)+G623,0)</f>
        <v>0</v>
      </c>
      <c r="E624" s="26" t="n">
        <f aca="false">D624*B624/365</f>
        <v>0</v>
      </c>
      <c r="F624" s="25" t="n">
        <f aca="false">F623+E624*(1-IF(D624&gt;0,(IF(A624&gt;Penalty!$B$19,Penalty!$I$5,0)+G623)/D624,0))</f>
        <v>345.789278153858</v>
      </c>
      <c r="G624" s="25" t="n">
        <f aca="false">G623+E624*IF(D624&gt;0,(IF(A624&gt;Penalty!$B$19,Penalty!$I$5,0)+G623)/D624,0)</f>
        <v>46.6815525507708</v>
      </c>
    </row>
    <row r="625" customFormat="false" ht="15" hidden="false" customHeight="false" outlineLevel="0" collapsed="false">
      <c r="A625" s="23" t="n">
        <f aca="false">Penalty!$B$5+621</f>
        <v>46748</v>
      </c>
      <c r="B625" s="24" t="n">
        <f aca="false">IF(YEAR(A625)&gt;2026,Penalty!$B$16/100,IFERROR(INDEX(Rates!$B$4:$E$15,MATCH(YEAR(A625),Rates!$A$4:$A$15,0),ROUNDUP(MONTH(A625)/3,0))/100,0.03))</f>
        <v>0.07</v>
      </c>
      <c r="C625" s="25" t="n">
        <f aca="false">MAX(0,Penalty!$B$4-SUMIFS(Penalty!$C$10:$C$12,Penalty!$B$10:$B$12,"&lt;"&amp;A625))</f>
        <v>12000</v>
      </c>
      <c r="D625" s="25" t="n">
        <f aca="false">IF(A625&lt;=Penalty!$B$8,C625+F624+IF(A625&gt;Penalty!$B$19,Penalty!$I$5,0)+G624,0)</f>
        <v>0</v>
      </c>
      <c r="E625" s="26" t="n">
        <f aca="false">D625*B625/365</f>
        <v>0</v>
      </c>
      <c r="F625" s="25" t="n">
        <f aca="false">F624+E625*(1-IF(D625&gt;0,(IF(A625&gt;Penalty!$B$19,Penalty!$I$5,0)+G624)/D625,0))</f>
        <v>345.789278153858</v>
      </c>
      <c r="G625" s="25" t="n">
        <f aca="false">G624+E625*IF(D625&gt;0,(IF(A625&gt;Penalty!$B$19,Penalty!$I$5,0)+G624)/D625,0)</f>
        <v>46.6815525507708</v>
      </c>
    </row>
    <row r="626" customFormat="false" ht="15" hidden="false" customHeight="false" outlineLevel="0" collapsed="false">
      <c r="A626" s="23" t="n">
        <f aca="false">Penalty!$B$5+622</f>
        <v>46749</v>
      </c>
      <c r="B626" s="24" t="n">
        <f aca="false">IF(YEAR(A626)&gt;2026,Penalty!$B$16/100,IFERROR(INDEX(Rates!$B$4:$E$15,MATCH(YEAR(A626),Rates!$A$4:$A$15,0),ROUNDUP(MONTH(A626)/3,0))/100,0.03))</f>
        <v>0.07</v>
      </c>
      <c r="C626" s="25" t="n">
        <f aca="false">MAX(0,Penalty!$B$4-SUMIFS(Penalty!$C$10:$C$12,Penalty!$B$10:$B$12,"&lt;"&amp;A626))</f>
        <v>12000</v>
      </c>
      <c r="D626" s="25" t="n">
        <f aca="false">IF(A626&lt;=Penalty!$B$8,C626+F625+IF(A626&gt;Penalty!$B$19,Penalty!$I$5,0)+G625,0)</f>
        <v>0</v>
      </c>
      <c r="E626" s="26" t="n">
        <f aca="false">D626*B626/365</f>
        <v>0</v>
      </c>
      <c r="F626" s="25" t="n">
        <f aca="false">F625+E626*(1-IF(D626&gt;0,(IF(A626&gt;Penalty!$B$19,Penalty!$I$5,0)+G625)/D626,0))</f>
        <v>345.789278153858</v>
      </c>
      <c r="G626" s="25" t="n">
        <f aca="false">G625+E626*IF(D626&gt;0,(IF(A626&gt;Penalty!$B$19,Penalty!$I$5,0)+G625)/D626,0)</f>
        <v>46.6815525507708</v>
      </c>
    </row>
    <row r="627" customFormat="false" ht="15" hidden="false" customHeight="false" outlineLevel="0" collapsed="false">
      <c r="A627" s="23" t="n">
        <f aca="false">Penalty!$B$5+623</f>
        <v>46750</v>
      </c>
      <c r="B627" s="24" t="n">
        <f aca="false">IF(YEAR(A627)&gt;2026,Penalty!$B$16/100,IFERROR(INDEX(Rates!$B$4:$E$15,MATCH(YEAR(A627),Rates!$A$4:$A$15,0),ROUNDUP(MONTH(A627)/3,0))/100,0.03))</f>
        <v>0.07</v>
      </c>
      <c r="C627" s="25" t="n">
        <f aca="false">MAX(0,Penalty!$B$4-SUMIFS(Penalty!$C$10:$C$12,Penalty!$B$10:$B$12,"&lt;"&amp;A627))</f>
        <v>12000</v>
      </c>
      <c r="D627" s="25" t="n">
        <f aca="false">IF(A627&lt;=Penalty!$B$8,C627+F626+IF(A627&gt;Penalty!$B$19,Penalty!$I$5,0)+G626,0)</f>
        <v>0</v>
      </c>
      <c r="E627" s="26" t="n">
        <f aca="false">D627*B627/365</f>
        <v>0</v>
      </c>
      <c r="F627" s="25" t="n">
        <f aca="false">F626+E627*(1-IF(D627&gt;0,(IF(A627&gt;Penalty!$B$19,Penalty!$I$5,0)+G626)/D627,0))</f>
        <v>345.789278153858</v>
      </c>
      <c r="G627" s="25" t="n">
        <f aca="false">G626+E627*IF(D627&gt;0,(IF(A627&gt;Penalty!$B$19,Penalty!$I$5,0)+G626)/D627,0)</f>
        <v>46.6815525507708</v>
      </c>
    </row>
    <row r="628" customFormat="false" ht="15" hidden="false" customHeight="false" outlineLevel="0" collapsed="false">
      <c r="A628" s="23" t="n">
        <f aca="false">Penalty!$B$5+624</f>
        <v>46751</v>
      </c>
      <c r="B628" s="24" t="n">
        <f aca="false">IF(YEAR(A628)&gt;2026,Penalty!$B$16/100,IFERROR(INDEX(Rates!$B$4:$E$15,MATCH(YEAR(A628),Rates!$A$4:$A$15,0),ROUNDUP(MONTH(A628)/3,0))/100,0.03))</f>
        <v>0.07</v>
      </c>
      <c r="C628" s="25" t="n">
        <f aca="false">MAX(0,Penalty!$B$4-SUMIFS(Penalty!$C$10:$C$12,Penalty!$B$10:$B$12,"&lt;"&amp;A628))</f>
        <v>12000</v>
      </c>
      <c r="D628" s="25" t="n">
        <f aca="false">IF(A628&lt;=Penalty!$B$8,C628+F627+IF(A628&gt;Penalty!$B$19,Penalty!$I$5,0)+G627,0)</f>
        <v>0</v>
      </c>
      <c r="E628" s="26" t="n">
        <f aca="false">D628*B628/365</f>
        <v>0</v>
      </c>
      <c r="F628" s="25" t="n">
        <f aca="false">F627+E628*(1-IF(D628&gt;0,(IF(A628&gt;Penalty!$B$19,Penalty!$I$5,0)+G627)/D628,0))</f>
        <v>345.789278153858</v>
      </c>
      <c r="G628" s="25" t="n">
        <f aca="false">G627+E628*IF(D628&gt;0,(IF(A628&gt;Penalty!$B$19,Penalty!$I$5,0)+G627)/D628,0)</f>
        <v>46.6815525507708</v>
      </c>
    </row>
    <row r="629" customFormat="false" ht="15" hidden="false" customHeight="false" outlineLevel="0" collapsed="false">
      <c r="A629" s="23" t="n">
        <f aca="false">Penalty!$B$5+625</f>
        <v>46752</v>
      </c>
      <c r="B629" s="24" t="n">
        <f aca="false">IF(YEAR(A629)&gt;2026,Penalty!$B$16/100,IFERROR(INDEX(Rates!$B$4:$E$15,MATCH(YEAR(A629),Rates!$A$4:$A$15,0),ROUNDUP(MONTH(A629)/3,0))/100,0.03))</f>
        <v>0.07</v>
      </c>
      <c r="C629" s="25" t="n">
        <f aca="false">MAX(0,Penalty!$B$4-SUMIFS(Penalty!$C$10:$C$12,Penalty!$B$10:$B$12,"&lt;"&amp;A629))</f>
        <v>12000</v>
      </c>
      <c r="D629" s="25" t="n">
        <f aca="false">IF(A629&lt;=Penalty!$B$8,C629+F628+IF(A629&gt;Penalty!$B$19,Penalty!$I$5,0)+G628,0)</f>
        <v>0</v>
      </c>
      <c r="E629" s="26" t="n">
        <f aca="false">D629*B629/365</f>
        <v>0</v>
      </c>
      <c r="F629" s="25" t="n">
        <f aca="false">F628+E629*(1-IF(D629&gt;0,(IF(A629&gt;Penalty!$B$19,Penalty!$I$5,0)+G628)/D629,0))</f>
        <v>345.789278153858</v>
      </c>
      <c r="G629" s="25" t="n">
        <f aca="false">G628+E629*IF(D629&gt;0,(IF(A629&gt;Penalty!$B$19,Penalty!$I$5,0)+G628)/D629,0)</f>
        <v>46.6815525507708</v>
      </c>
    </row>
    <row r="630" customFormat="false" ht="15" hidden="false" customHeight="false" outlineLevel="0" collapsed="false">
      <c r="A630" s="23" t="n">
        <f aca="false">Penalty!$B$5+626</f>
        <v>46753</v>
      </c>
      <c r="B630" s="24" t="n">
        <f aca="false">IF(YEAR(A630)&gt;2026,Penalty!$B$16/100,IFERROR(INDEX(Rates!$B$4:$E$15,MATCH(YEAR(A630),Rates!$A$4:$A$15,0),ROUNDUP(MONTH(A630)/3,0))/100,0.03))</f>
        <v>0.07</v>
      </c>
      <c r="C630" s="25" t="n">
        <f aca="false">MAX(0,Penalty!$B$4-SUMIFS(Penalty!$C$10:$C$12,Penalty!$B$10:$B$12,"&lt;"&amp;A630))</f>
        <v>12000</v>
      </c>
      <c r="D630" s="25" t="n">
        <f aca="false">IF(A630&lt;=Penalty!$B$8,C630+F629+IF(A630&gt;Penalty!$B$19,Penalty!$I$5,0)+G629,0)</f>
        <v>0</v>
      </c>
      <c r="E630" s="26" t="n">
        <f aca="false">D630*B630/365</f>
        <v>0</v>
      </c>
      <c r="F630" s="25" t="n">
        <f aca="false">F629+E630*(1-IF(D630&gt;0,(IF(A630&gt;Penalty!$B$19,Penalty!$I$5,0)+G629)/D630,0))</f>
        <v>345.789278153858</v>
      </c>
      <c r="G630" s="25" t="n">
        <f aca="false">G629+E630*IF(D630&gt;0,(IF(A630&gt;Penalty!$B$19,Penalty!$I$5,0)+G629)/D630,0)</f>
        <v>46.6815525507708</v>
      </c>
    </row>
    <row r="631" customFormat="false" ht="15" hidden="false" customHeight="false" outlineLevel="0" collapsed="false">
      <c r="A631" s="23" t="n">
        <f aca="false">Penalty!$B$5+627</f>
        <v>46754</v>
      </c>
      <c r="B631" s="24" t="n">
        <f aca="false">IF(YEAR(A631)&gt;2026,Penalty!$B$16/100,IFERROR(INDEX(Rates!$B$4:$E$15,MATCH(YEAR(A631),Rates!$A$4:$A$15,0),ROUNDUP(MONTH(A631)/3,0))/100,0.03))</f>
        <v>0.07</v>
      </c>
      <c r="C631" s="25" t="n">
        <f aca="false">MAX(0,Penalty!$B$4-SUMIFS(Penalty!$C$10:$C$12,Penalty!$B$10:$B$12,"&lt;"&amp;A631))</f>
        <v>12000</v>
      </c>
      <c r="D631" s="25" t="n">
        <f aca="false">IF(A631&lt;=Penalty!$B$8,C631+F630+IF(A631&gt;Penalty!$B$19,Penalty!$I$5,0)+G630,0)</f>
        <v>0</v>
      </c>
      <c r="E631" s="26" t="n">
        <f aca="false">D631*B631/365</f>
        <v>0</v>
      </c>
      <c r="F631" s="25" t="n">
        <f aca="false">F630+E631*(1-IF(D631&gt;0,(IF(A631&gt;Penalty!$B$19,Penalty!$I$5,0)+G630)/D631,0))</f>
        <v>345.789278153858</v>
      </c>
      <c r="G631" s="25" t="n">
        <f aca="false">G630+E631*IF(D631&gt;0,(IF(A631&gt;Penalty!$B$19,Penalty!$I$5,0)+G630)/D631,0)</f>
        <v>46.6815525507708</v>
      </c>
    </row>
    <row r="632" customFormat="false" ht="15" hidden="false" customHeight="false" outlineLevel="0" collapsed="false">
      <c r="A632" s="23" t="n">
        <f aca="false">Penalty!$B$5+628</f>
        <v>46755</v>
      </c>
      <c r="B632" s="24" t="n">
        <f aca="false">IF(YEAR(A632)&gt;2026,Penalty!$B$16/100,IFERROR(INDEX(Rates!$B$4:$E$15,MATCH(YEAR(A632),Rates!$A$4:$A$15,0),ROUNDUP(MONTH(A632)/3,0))/100,0.03))</f>
        <v>0.07</v>
      </c>
      <c r="C632" s="25" t="n">
        <f aca="false">MAX(0,Penalty!$B$4-SUMIFS(Penalty!$C$10:$C$12,Penalty!$B$10:$B$12,"&lt;"&amp;A632))</f>
        <v>12000</v>
      </c>
      <c r="D632" s="25" t="n">
        <f aca="false">IF(A632&lt;=Penalty!$B$8,C632+F631+IF(A632&gt;Penalty!$B$19,Penalty!$I$5,0)+G631,0)</f>
        <v>0</v>
      </c>
      <c r="E632" s="26" t="n">
        <f aca="false">D632*B632/365</f>
        <v>0</v>
      </c>
      <c r="F632" s="25" t="n">
        <f aca="false">F631+E632*(1-IF(D632&gt;0,(IF(A632&gt;Penalty!$B$19,Penalty!$I$5,0)+G631)/D632,0))</f>
        <v>345.789278153858</v>
      </c>
      <c r="G632" s="25" t="n">
        <f aca="false">G631+E632*IF(D632&gt;0,(IF(A632&gt;Penalty!$B$19,Penalty!$I$5,0)+G631)/D632,0)</f>
        <v>46.6815525507708</v>
      </c>
    </row>
    <row r="633" customFormat="false" ht="15" hidden="false" customHeight="false" outlineLevel="0" collapsed="false">
      <c r="A633" s="23" t="n">
        <f aca="false">Penalty!$B$5+629</f>
        <v>46756</v>
      </c>
      <c r="B633" s="24" t="n">
        <f aca="false">IF(YEAR(A633)&gt;2026,Penalty!$B$16/100,IFERROR(INDEX(Rates!$B$4:$E$15,MATCH(YEAR(A633),Rates!$A$4:$A$15,0),ROUNDUP(MONTH(A633)/3,0))/100,0.03))</f>
        <v>0.07</v>
      </c>
      <c r="C633" s="25" t="n">
        <f aca="false">MAX(0,Penalty!$B$4-SUMIFS(Penalty!$C$10:$C$12,Penalty!$B$10:$B$12,"&lt;"&amp;A633))</f>
        <v>12000</v>
      </c>
      <c r="D633" s="25" t="n">
        <f aca="false">IF(A633&lt;=Penalty!$B$8,C633+F632+IF(A633&gt;Penalty!$B$19,Penalty!$I$5,0)+G632,0)</f>
        <v>0</v>
      </c>
      <c r="E633" s="26" t="n">
        <f aca="false">D633*B633/365</f>
        <v>0</v>
      </c>
      <c r="F633" s="25" t="n">
        <f aca="false">F632+E633*(1-IF(D633&gt;0,(IF(A633&gt;Penalty!$B$19,Penalty!$I$5,0)+G632)/D633,0))</f>
        <v>345.789278153858</v>
      </c>
      <c r="G633" s="25" t="n">
        <f aca="false">G632+E633*IF(D633&gt;0,(IF(A633&gt;Penalty!$B$19,Penalty!$I$5,0)+G632)/D633,0)</f>
        <v>46.6815525507708</v>
      </c>
    </row>
    <row r="634" customFormat="false" ht="15" hidden="false" customHeight="false" outlineLevel="0" collapsed="false">
      <c r="A634" s="23" t="n">
        <f aca="false">Penalty!$B$5+630</f>
        <v>46757</v>
      </c>
      <c r="B634" s="24" t="n">
        <f aca="false">IF(YEAR(A634)&gt;2026,Penalty!$B$16/100,IFERROR(INDEX(Rates!$B$4:$E$15,MATCH(YEAR(A634),Rates!$A$4:$A$15,0),ROUNDUP(MONTH(A634)/3,0))/100,0.03))</f>
        <v>0.07</v>
      </c>
      <c r="C634" s="25" t="n">
        <f aca="false">MAX(0,Penalty!$B$4-SUMIFS(Penalty!$C$10:$C$12,Penalty!$B$10:$B$12,"&lt;"&amp;A634))</f>
        <v>12000</v>
      </c>
      <c r="D634" s="25" t="n">
        <f aca="false">IF(A634&lt;=Penalty!$B$8,C634+F633+IF(A634&gt;Penalty!$B$19,Penalty!$I$5,0)+G633,0)</f>
        <v>0</v>
      </c>
      <c r="E634" s="26" t="n">
        <f aca="false">D634*B634/365</f>
        <v>0</v>
      </c>
      <c r="F634" s="25" t="n">
        <f aca="false">F633+E634*(1-IF(D634&gt;0,(IF(A634&gt;Penalty!$B$19,Penalty!$I$5,0)+G633)/D634,0))</f>
        <v>345.789278153858</v>
      </c>
      <c r="G634" s="25" t="n">
        <f aca="false">G633+E634*IF(D634&gt;0,(IF(A634&gt;Penalty!$B$19,Penalty!$I$5,0)+G633)/D634,0)</f>
        <v>46.6815525507708</v>
      </c>
    </row>
    <row r="635" customFormat="false" ht="15" hidden="false" customHeight="false" outlineLevel="0" collapsed="false">
      <c r="A635" s="23" t="n">
        <f aca="false">Penalty!$B$5+631</f>
        <v>46758</v>
      </c>
      <c r="B635" s="24" t="n">
        <f aca="false">IF(YEAR(A635)&gt;2026,Penalty!$B$16/100,IFERROR(INDEX(Rates!$B$4:$E$15,MATCH(YEAR(A635),Rates!$A$4:$A$15,0),ROUNDUP(MONTH(A635)/3,0))/100,0.03))</f>
        <v>0.07</v>
      </c>
      <c r="C635" s="25" t="n">
        <f aca="false">MAX(0,Penalty!$B$4-SUMIFS(Penalty!$C$10:$C$12,Penalty!$B$10:$B$12,"&lt;"&amp;A635))</f>
        <v>12000</v>
      </c>
      <c r="D635" s="25" t="n">
        <f aca="false">IF(A635&lt;=Penalty!$B$8,C635+F634+IF(A635&gt;Penalty!$B$19,Penalty!$I$5,0)+G634,0)</f>
        <v>0</v>
      </c>
      <c r="E635" s="26" t="n">
        <f aca="false">D635*B635/365</f>
        <v>0</v>
      </c>
      <c r="F635" s="25" t="n">
        <f aca="false">F634+E635*(1-IF(D635&gt;0,(IF(A635&gt;Penalty!$B$19,Penalty!$I$5,0)+G634)/D635,0))</f>
        <v>345.789278153858</v>
      </c>
      <c r="G635" s="25" t="n">
        <f aca="false">G634+E635*IF(D635&gt;0,(IF(A635&gt;Penalty!$B$19,Penalty!$I$5,0)+G634)/D635,0)</f>
        <v>46.6815525507708</v>
      </c>
    </row>
    <row r="636" customFormat="false" ht="15" hidden="false" customHeight="false" outlineLevel="0" collapsed="false">
      <c r="A636" s="23" t="n">
        <f aca="false">Penalty!$B$5+632</f>
        <v>46759</v>
      </c>
      <c r="B636" s="24" t="n">
        <f aca="false">IF(YEAR(A636)&gt;2026,Penalty!$B$16/100,IFERROR(INDEX(Rates!$B$4:$E$15,MATCH(YEAR(A636),Rates!$A$4:$A$15,0),ROUNDUP(MONTH(A636)/3,0))/100,0.03))</f>
        <v>0.07</v>
      </c>
      <c r="C636" s="25" t="n">
        <f aca="false">MAX(0,Penalty!$B$4-SUMIFS(Penalty!$C$10:$C$12,Penalty!$B$10:$B$12,"&lt;"&amp;A636))</f>
        <v>12000</v>
      </c>
      <c r="D636" s="25" t="n">
        <f aca="false">IF(A636&lt;=Penalty!$B$8,C636+F635+IF(A636&gt;Penalty!$B$19,Penalty!$I$5,0)+G635,0)</f>
        <v>0</v>
      </c>
      <c r="E636" s="26" t="n">
        <f aca="false">D636*B636/365</f>
        <v>0</v>
      </c>
      <c r="F636" s="25" t="n">
        <f aca="false">F635+E636*(1-IF(D636&gt;0,(IF(A636&gt;Penalty!$B$19,Penalty!$I$5,0)+G635)/D636,0))</f>
        <v>345.789278153858</v>
      </c>
      <c r="G636" s="25" t="n">
        <f aca="false">G635+E636*IF(D636&gt;0,(IF(A636&gt;Penalty!$B$19,Penalty!$I$5,0)+G635)/D636,0)</f>
        <v>46.6815525507708</v>
      </c>
    </row>
    <row r="637" customFormat="false" ht="15" hidden="false" customHeight="false" outlineLevel="0" collapsed="false">
      <c r="A637" s="23" t="n">
        <f aca="false">Penalty!$B$5+633</f>
        <v>46760</v>
      </c>
      <c r="B637" s="24" t="n">
        <f aca="false">IF(YEAR(A637)&gt;2026,Penalty!$B$16/100,IFERROR(INDEX(Rates!$B$4:$E$15,MATCH(YEAR(A637),Rates!$A$4:$A$15,0),ROUNDUP(MONTH(A637)/3,0))/100,0.03))</f>
        <v>0.07</v>
      </c>
      <c r="C637" s="25" t="n">
        <f aca="false">MAX(0,Penalty!$B$4-SUMIFS(Penalty!$C$10:$C$12,Penalty!$B$10:$B$12,"&lt;"&amp;A637))</f>
        <v>12000</v>
      </c>
      <c r="D637" s="25" t="n">
        <f aca="false">IF(A637&lt;=Penalty!$B$8,C637+F636+IF(A637&gt;Penalty!$B$19,Penalty!$I$5,0)+G636,0)</f>
        <v>0</v>
      </c>
      <c r="E637" s="26" t="n">
        <f aca="false">D637*B637/365</f>
        <v>0</v>
      </c>
      <c r="F637" s="25" t="n">
        <f aca="false">F636+E637*(1-IF(D637&gt;0,(IF(A637&gt;Penalty!$B$19,Penalty!$I$5,0)+G636)/D637,0))</f>
        <v>345.789278153858</v>
      </c>
      <c r="G637" s="25" t="n">
        <f aca="false">G636+E637*IF(D637&gt;0,(IF(A637&gt;Penalty!$B$19,Penalty!$I$5,0)+G636)/D637,0)</f>
        <v>46.6815525507708</v>
      </c>
    </row>
    <row r="638" customFormat="false" ht="15" hidden="false" customHeight="false" outlineLevel="0" collapsed="false">
      <c r="A638" s="23" t="n">
        <f aca="false">Penalty!$B$5+634</f>
        <v>46761</v>
      </c>
      <c r="B638" s="24" t="n">
        <f aca="false">IF(YEAR(A638)&gt;2026,Penalty!$B$16/100,IFERROR(INDEX(Rates!$B$4:$E$15,MATCH(YEAR(A638),Rates!$A$4:$A$15,0),ROUNDUP(MONTH(A638)/3,0))/100,0.03))</f>
        <v>0.07</v>
      </c>
      <c r="C638" s="25" t="n">
        <f aca="false">MAX(0,Penalty!$B$4-SUMIFS(Penalty!$C$10:$C$12,Penalty!$B$10:$B$12,"&lt;"&amp;A638))</f>
        <v>12000</v>
      </c>
      <c r="D638" s="25" t="n">
        <f aca="false">IF(A638&lt;=Penalty!$B$8,C638+F637+IF(A638&gt;Penalty!$B$19,Penalty!$I$5,0)+G637,0)</f>
        <v>0</v>
      </c>
      <c r="E638" s="26" t="n">
        <f aca="false">D638*B638/365</f>
        <v>0</v>
      </c>
      <c r="F638" s="25" t="n">
        <f aca="false">F637+E638*(1-IF(D638&gt;0,(IF(A638&gt;Penalty!$B$19,Penalty!$I$5,0)+G637)/D638,0))</f>
        <v>345.789278153858</v>
      </c>
      <c r="G638" s="25" t="n">
        <f aca="false">G637+E638*IF(D638&gt;0,(IF(A638&gt;Penalty!$B$19,Penalty!$I$5,0)+G637)/D638,0)</f>
        <v>46.6815525507708</v>
      </c>
    </row>
    <row r="639" customFormat="false" ht="15" hidden="false" customHeight="false" outlineLevel="0" collapsed="false">
      <c r="A639" s="23" t="n">
        <f aca="false">Penalty!$B$5+635</f>
        <v>46762</v>
      </c>
      <c r="B639" s="24" t="n">
        <f aca="false">IF(YEAR(A639)&gt;2026,Penalty!$B$16/100,IFERROR(INDEX(Rates!$B$4:$E$15,MATCH(YEAR(A639),Rates!$A$4:$A$15,0),ROUNDUP(MONTH(A639)/3,0))/100,0.03))</f>
        <v>0.07</v>
      </c>
      <c r="C639" s="25" t="n">
        <f aca="false">MAX(0,Penalty!$B$4-SUMIFS(Penalty!$C$10:$C$12,Penalty!$B$10:$B$12,"&lt;"&amp;A639))</f>
        <v>12000</v>
      </c>
      <c r="D639" s="25" t="n">
        <f aca="false">IF(A639&lt;=Penalty!$B$8,C639+F638+IF(A639&gt;Penalty!$B$19,Penalty!$I$5,0)+G638,0)</f>
        <v>0</v>
      </c>
      <c r="E639" s="26" t="n">
        <f aca="false">D639*B639/365</f>
        <v>0</v>
      </c>
      <c r="F639" s="25" t="n">
        <f aca="false">F638+E639*(1-IF(D639&gt;0,(IF(A639&gt;Penalty!$B$19,Penalty!$I$5,0)+G638)/D639,0))</f>
        <v>345.789278153858</v>
      </c>
      <c r="G639" s="25" t="n">
        <f aca="false">G638+E639*IF(D639&gt;0,(IF(A639&gt;Penalty!$B$19,Penalty!$I$5,0)+G638)/D639,0)</f>
        <v>46.6815525507708</v>
      </c>
    </row>
    <row r="640" customFormat="false" ht="15" hidden="false" customHeight="false" outlineLevel="0" collapsed="false">
      <c r="A640" s="23" t="n">
        <f aca="false">Penalty!$B$5+636</f>
        <v>46763</v>
      </c>
      <c r="B640" s="24" t="n">
        <f aca="false">IF(YEAR(A640)&gt;2026,Penalty!$B$16/100,IFERROR(INDEX(Rates!$B$4:$E$15,MATCH(YEAR(A640),Rates!$A$4:$A$15,0),ROUNDUP(MONTH(A640)/3,0))/100,0.03))</f>
        <v>0.07</v>
      </c>
      <c r="C640" s="25" t="n">
        <f aca="false">MAX(0,Penalty!$B$4-SUMIFS(Penalty!$C$10:$C$12,Penalty!$B$10:$B$12,"&lt;"&amp;A640))</f>
        <v>12000</v>
      </c>
      <c r="D640" s="25" t="n">
        <f aca="false">IF(A640&lt;=Penalty!$B$8,C640+F639+IF(A640&gt;Penalty!$B$19,Penalty!$I$5,0)+G639,0)</f>
        <v>0</v>
      </c>
      <c r="E640" s="26" t="n">
        <f aca="false">D640*B640/365</f>
        <v>0</v>
      </c>
      <c r="F640" s="25" t="n">
        <f aca="false">F639+E640*(1-IF(D640&gt;0,(IF(A640&gt;Penalty!$B$19,Penalty!$I$5,0)+G639)/D640,0))</f>
        <v>345.789278153858</v>
      </c>
      <c r="G640" s="25" t="n">
        <f aca="false">G639+E640*IF(D640&gt;0,(IF(A640&gt;Penalty!$B$19,Penalty!$I$5,0)+G639)/D640,0)</f>
        <v>46.6815525507708</v>
      </c>
    </row>
    <row r="641" customFormat="false" ht="15" hidden="false" customHeight="false" outlineLevel="0" collapsed="false">
      <c r="A641" s="23" t="n">
        <f aca="false">Penalty!$B$5+637</f>
        <v>46764</v>
      </c>
      <c r="B641" s="24" t="n">
        <f aca="false">IF(YEAR(A641)&gt;2026,Penalty!$B$16/100,IFERROR(INDEX(Rates!$B$4:$E$15,MATCH(YEAR(A641),Rates!$A$4:$A$15,0),ROUNDUP(MONTH(A641)/3,0))/100,0.03))</f>
        <v>0.07</v>
      </c>
      <c r="C641" s="25" t="n">
        <f aca="false">MAX(0,Penalty!$B$4-SUMIFS(Penalty!$C$10:$C$12,Penalty!$B$10:$B$12,"&lt;"&amp;A641))</f>
        <v>12000</v>
      </c>
      <c r="D641" s="25" t="n">
        <f aca="false">IF(A641&lt;=Penalty!$B$8,C641+F640+IF(A641&gt;Penalty!$B$19,Penalty!$I$5,0)+G640,0)</f>
        <v>0</v>
      </c>
      <c r="E641" s="26" t="n">
        <f aca="false">D641*B641/365</f>
        <v>0</v>
      </c>
      <c r="F641" s="25" t="n">
        <f aca="false">F640+E641*(1-IF(D641&gt;0,(IF(A641&gt;Penalty!$B$19,Penalty!$I$5,0)+G640)/D641,0))</f>
        <v>345.789278153858</v>
      </c>
      <c r="G641" s="25" t="n">
        <f aca="false">G640+E641*IF(D641&gt;0,(IF(A641&gt;Penalty!$B$19,Penalty!$I$5,0)+G640)/D641,0)</f>
        <v>46.6815525507708</v>
      </c>
    </row>
    <row r="642" customFormat="false" ht="15" hidden="false" customHeight="false" outlineLevel="0" collapsed="false">
      <c r="A642" s="23" t="n">
        <f aca="false">Penalty!$B$5+638</f>
        <v>46765</v>
      </c>
      <c r="B642" s="24" t="n">
        <f aca="false">IF(YEAR(A642)&gt;2026,Penalty!$B$16/100,IFERROR(INDEX(Rates!$B$4:$E$15,MATCH(YEAR(A642),Rates!$A$4:$A$15,0),ROUNDUP(MONTH(A642)/3,0))/100,0.03))</f>
        <v>0.07</v>
      </c>
      <c r="C642" s="25" t="n">
        <f aca="false">MAX(0,Penalty!$B$4-SUMIFS(Penalty!$C$10:$C$12,Penalty!$B$10:$B$12,"&lt;"&amp;A642))</f>
        <v>12000</v>
      </c>
      <c r="D642" s="25" t="n">
        <f aca="false">IF(A642&lt;=Penalty!$B$8,C642+F641+IF(A642&gt;Penalty!$B$19,Penalty!$I$5,0)+G641,0)</f>
        <v>0</v>
      </c>
      <c r="E642" s="26" t="n">
        <f aca="false">D642*B642/365</f>
        <v>0</v>
      </c>
      <c r="F642" s="25" t="n">
        <f aca="false">F641+E642*(1-IF(D642&gt;0,(IF(A642&gt;Penalty!$B$19,Penalty!$I$5,0)+G641)/D642,0))</f>
        <v>345.789278153858</v>
      </c>
      <c r="G642" s="25" t="n">
        <f aca="false">G641+E642*IF(D642&gt;0,(IF(A642&gt;Penalty!$B$19,Penalty!$I$5,0)+G641)/D642,0)</f>
        <v>46.6815525507708</v>
      </c>
    </row>
    <row r="643" customFormat="false" ht="15" hidden="false" customHeight="false" outlineLevel="0" collapsed="false">
      <c r="A643" s="23" t="n">
        <f aca="false">Penalty!$B$5+639</f>
        <v>46766</v>
      </c>
      <c r="B643" s="24" t="n">
        <f aca="false">IF(YEAR(A643)&gt;2026,Penalty!$B$16/100,IFERROR(INDEX(Rates!$B$4:$E$15,MATCH(YEAR(A643),Rates!$A$4:$A$15,0),ROUNDUP(MONTH(A643)/3,0))/100,0.03))</f>
        <v>0.07</v>
      </c>
      <c r="C643" s="25" t="n">
        <f aca="false">MAX(0,Penalty!$B$4-SUMIFS(Penalty!$C$10:$C$12,Penalty!$B$10:$B$12,"&lt;"&amp;A643))</f>
        <v>12000</v>
      </c>
      <c r="D643" s="25" t="n">
        <f aca="false">IF(A643&lt;=Penalty!$B$8,C643+F642+IF(A643&gt;Penalty!$B$19,Penalty!$I$5,0)+G642,0)</f>
        <v>0</v>
      </c>
      <c r="E643" s="26" t="n">
        <f aca="false">D643*B643/365</f>
        <v>0</v>
      </c>
      <c r="F643" s="25" t="n">
        <f aca="false">F642+E643*(1-IF(D643&gt;0,(IF(A643&gt;Penalty!$B$19,Penalty!$I$5,0)+G642)/D643,0))</f>
        <v>345.789278153858</v>
      </c>
      <c r="G643" s="25" t="n">
        <f aca="false">G642+E643*IF(D643&gt;0,(IF(A643&gt;Penalty!$B$19,Penalty!$I$5,0)+G642)/D643,0)</f>
        <v>46.6815525507708</v>
      </c>
    </row>
    <row r="644" customFormat="false" ht="15" hidden="false" customHeight="false" outlineLevel="0" collapsed="false">
      <c r="A644" s="23" t="n">
        <f aca="false">Penalty!$B$5+640</f>
        <v>46767</v>
      </c>
      <c r="B644" s="24" t="n">
        <f aca="false">IF(YEAR(A644)&gt;2026,Penalty!$B$16/100,IFERROR(INDEX(Rates!$B$4:$E$15,MATCH(YEAR(A644),Rates!$A$4:$A$15,0),ROUNDUP(MONTH(A644)/3,0))/100,0.03))</f>
        <v>0.07</v>
      </c>
      <c r="C644" s="25" t="n">
        <f aca="false">MAX(0,Penalty!$B$4-SUMIFS(Penalty!$C$10:$C$12,Penalty!$B$10:$B$12,"&lt;"&amp;A644))</f>
        <v>12000</v>
      </c>
      <c r="D644" s="25" t="n">
        <f aca="false">IF(A644&lt;=Penalty!$B$8,C644+F643+IF(A644&gt;Penalty!$B$19,Penalty!$I$5,0)+G643,0)</f>
        <v>0</v>
      </c>
      <c r="E644" s="26" t="n">
        <f aca="false">D644*B644/365</f>
        <v>0</v>
      </c>
      <c r="F644" s="25" t="n">
        <f aca="false">F643+E644*(1-IF(D644&gt;0,(IF(A644&gt;Penalty!$B$19,Penalty!$I$5,0)+G643)/D644,0))</f>
        <v>345.789278153858</v>
      </c>
      <c r="G644" s="25" t="n">
        <f aca="false">G643+E644*IF(D644&gt;0,(IF(A644&gt;Penalty!$B$19,Penalty!$I$5,0)+G643)/D644,0)</f>
        <v>46.6815525507708</v>
      </c>
    </row>
    <row r="645" customFormat="false" ht="15" hidden="false" customHeight="false" outlineLevel="0" collapsed="false">
      <c r="A645" s="23" t="n">
        <f aca="false">Penalty!$B$5+641</f>
        <v>46768</v>
      </c>
      <c r="B645" s="24" t="n">
        <f aca="false">IF(YEAR(A645)&gt;2026,Penalty!$B$16/100,IFERROR(INDEX(Rates!$B$4:$E$15,MATCH(YEAR(A645),Rates!$A$4:$A$15,0),ROUNDUP(MONTH(A645)/3,0))/100,0.03))</f>
        <v>0.07</v>
      </c>
      <c r="C645" s="25" t="n">
        <f aca="false">MAX(0,Penalty!$B$4-SUMIFS(Penalty!$C$10:$C$12,Penalty!$B$10:$B$12,"&lt;"&amp;A645))</f>
        <v>12000</v>
      </c>
      <c r="D645" s="25" t="n">
        <f aca="false">IF(A645&lt;=Penalty!$B$8,C645+F644+IF(A645&gt;Penalty!$B$19,Penalty!$I$5,0)+G644,0)</f>
        <v>0</v>
      </c>
      <c r="E645" s="26" t="n">
        <f aca="false">D645*B645/365</f>
        <v>0</v>
      </c>
      <c r="F645" s="25" t="n">
        <f aca="false">F644+E645*(1-IF(D645&gt;0,(IF(A645&gt;Penalty!$B$19,Penalty!$I$5,0)+G644)/D645,0))</f>
        <v>345.789278153858</v>
      </c>
      <c r="G645" s="25" t="n">
        <f aca="false">G644+E645*IF(D645&gt;0,(IF(A645&gt;Penalty!$B$19,Penalty!$I$5,0)+G644)/D645,0)</f>
        <v>46.6815525507708</v>
      </c>
    </row>
    <row r="646" customFormat="false" ht="15" hidden="false" customHeight="false" outlineLevel="0" collapsed="false">
      <c r="A646" s="23" t="n">
        <f aca="false">Penalty!$B$5+642</f>
        <v>46769</v>
      </c>
      <c r="B646" s="24" t="n">
        <f aca="false">IF(YEAR(A646)&gt;2026,Penalty!$B$16/100,IFERROR(INDEX(Rates!$B$4:$E$15,MATCH(YEAR(A646),Rates!$A$4:$A$15,0),ROUNDUP(MONTH(A646)/3,0))/100,0.03))</f>
        <v>0.07</v>
      </c>
      <c r="C646" s="25" t="n">
        <f aca="false">MAX(0,Penalty!$B$4-SUMIFS(Penalty!$C$10:$C$12,Penalty!$B$10:$B$12,"&lt;"&amp;A646))</f>
        <v>12000</v>
      </c>
      <c r="D646" s="25" t="n">
        <f aca="false">IF(A646&lt;=Penalty!$B$8,C646+F645+IF(A646&gt;Penalty!$B$19,Penalty!$I$5,0)+G645,0)</f>
        <v>0</v>
      </c>
      <c r="E646" s="26" t="n">
        <f aca="false">D646*B646/365</f>
        <v>0</v>
      </c>
      <c r="F646" s="25" t="n">
        <f aca="false">F645+E646*(1-IF(D646&gt;0,(IF(A646&gt;Penalty!$B$19,Penalty!$I$5,0)+G645)/D646,0))</f>
        <v>345.789278153858</v>
      </c>
      <c r="G646" s="25" t="n">
        <f aca="false">G645+E646*IF(D646&gt;0,(IF(A646&gt;Penalty!$B$19,Penalty!$I$5,0)+G645)/D646,0)</f>
        <v>46.6815525507708</v>
      </c>
    </row>
    <row r="647" customFormat="false" ht="15" hidden="false" customHeight="false" outlineLevel="0" collapsed="false">
      <c r="A647" s="23" t="n">
        <f aca="false">Penalty!$B$5+643</f>
        <v>46770</v>
      </c>
      <c r="B647" s="24" t="n">
        <f aca="false">IF(YEAR(A647)&gt;2026,Penalty!$B$16/100,IFERROR(INDEX(Rates!$B$4:$E$15,MATCH(YEAR(A647),Rates!$A$4:$A$15,0),ROUNDUP(MONTH(A647)/3,0))/100,0.03))</f>
        <v>0.07</v>
      </c>
      <c r="C647" s="25" t="n">
        <f aca="false">MAX(0,Penalty!$B$4-SUMIFS(Penalty!$C$10:$C$12,Penalty!$B$10:$B$12,"&lt;"&amp;A647))</f>
        <v>12000</v>
      </c>
      <c r="D647" s="25" t="n">
        <f aca="false">IF(A647&lt;=Penalty!$B$8,C647+F646+IF(A647&gt;Penalty!$B$19,Penalty!$I$5,0)+G646,0)</f>
        <v>0</v>
      </c>
      <c r="E647" s="26" t="n">
        <f aca="false">D647*B647/365</f>
        <v>0</v>
      </c>
      <c r="F647" s="25" t="n">
        <f aca="false">F646+E647*(1-IF(D647&gt;0,(IF(A647&gt;Penalty!$B$19,Penalty!$I$5,0)+G646)/D647,0))</f>
        <v>345.789278153858</v>
      </c>
      <c r="G647" s="25" t="n">
        <f aca="false">G646+E647*IF(D647&gt;0,(IF(A647&gt;Penalty!$B$19,Penalty!$I$5,0)+G646)/D647,0)</f>
        <v>46.6815525507708</v>
      </c>
    </row>
    <row r="648" customFormat="false" ht="15" hidden="false" customHeight="false" outlineLevel="0" collapsed="false">
      <c r="A648" s="23" t="n">
        <f aca="false">Penalty!$B$5+644</f>
        <v>46771</v>
      </c>
      <c r="B648" s="24" t="n">
        <f aca="false">IF(YEAR(A648)&gt;2026,Penalty!$B$16/100,IFERROR(INDEX(Rates!$B$4:$E$15,MATCH(YEAR(A648),Rates!$A$4:$A$15,0),ROUNDUP(MONTH(A648)/3,0))/100,0.03))</f>
        <v>0.07</v>
      </c>
      <c r="C648" s="25" t="n">
        <f aca="false">MAX(0,Penalty!$B$4-SUMIFS(Penalty!$C$10:$C$12,Penalty!$B$10:$B$12,"&lt;"&amp;A648))</f>
        <v>12000</v>
      </c>
      <c r="D648" s="25" t="n">
        <f aca="false">IF(A648&lt;=Penalty!$B$8,C648+F647+IF(A648&gt;Penalty!$B$19,Penalty!$I$5,0)+G647,0)</f>
        <v>0</v>
      </c>
      <c r="E648" s="26" t="n">
        <f aca="false">D648*B648/365</f>
        <v>0</v>
      </c>
      <c r="F648" s="25" t="n">
        <f aca="false">F647+E648*(1-IF(D648&gt;0,(IF(A648&gt;Penalty!$B$19,Penalty!$I$5,0)+G647)/D648,0))</f>
        <v>345.789278153858</v>
      </c>
      <c r="G648" s="25" t="n">
        <f aca="false">G647+E648*IF(D648&gt;0,(IF(A648&gt;Penalty!$B$19,Penalty!$I$5,0)+G647)/D648,0)</f>
        <v>46.6815525507708</v>
      </c>
    </row>
    <row r="649" customFormat="false" ht="15" hidden="false" customHeight="false" outlineLevel="0" collapsed="false">
      <c r="A649" s="23" t="n">
        <f aca="false">Penalty!$B$5+645</f>
        <v>46772</v>
      </c>
      <c r="B649" s="24" t="n">
        <f aca="false">IF(YEAR(A649)&gt;2026,Penalty!$B$16/100,IFERROR(INDEX(Rates!$B$4:$E$15,MATCH(YEAR(A649),Rates!$A$4:$A$15,0),ROUNDUP(MONTH(A649)/3,0))/100,0.03))</f>
        <v>0.07</v>
      </c>
      <c r="C649" s="25" t="n">
        <f aca="false">MAX(0,Penalty!$B$4-SUMIFS(Penalty!$C$10:$C$12,Penalty!$B$10:$B$12,"&lt;"&amp;A649))</f>
        <v>12000</v>
      </c>
      <c r="D649" s="25" t="n">
        <f aca="false">IF(A649&lt;=Penalty!$B$8,C649+F648+IF(A649&gt;Penalty!$B$19,Penalty!$I$5,0)+G648,0)</f>
        <v>0</v>
      </c>
      <c r="E649" s="26" t="n">
        <f aca="false">D649*B649/365</f>
        <v>0</v>
      </c>
      <c r="F649" s="25" t="n">
        <f aca="false">F648+E649*(1-IF(D649&gt;0,(IF(A649&gt;Penalty!$B$19,Penalty!$I$5,0)+G648)/D649,0))</f>
        <v>345.789278153858</v>
      </c>
      <c r="G649" s="25" t="n">
        <f aca="false">G648+E649*IF(D649&gt;0,(IF(A649&gt;Penalty!$B$19,Penalty!$I$5,0)+G648)/D649,0)</f>
        <v>46.6815525507708</v>
      </c>
    </row>
    <row r="650" customFormat="false" ht="15" hidden="false" customHeight="false" outlineLevel="0" collapsed="false">
      <c r="A650" s="23" t="n">
        <f aca="false">Penalty!$B$5+646</f>
        <v>46773</v>
      </c>
      <c r="B650" s="24" t="n">
        <f aca="false">IF(YEAR(A650)&gt;2026,Penalty!$B$16/100,IFERROR(INDEX(Rates!$B$4:$E$15,MATCH(YEAR(A650),Rates!$A$4:$A$15,0),ROUNDUP(MONTH(A650)/3,0))/100,0.03))</f>
        <v>0.07</v>
      </c>
      <c r="C650" s="25" t="n">
        <f aca="false">MAX(0,Penalty!$B$4-SUMIFS(Penalty!$C$10:$C$12,Penalty!$B$10:$B$12,"&lt;"&amp;A650))</f>
        <v>12000</v>
      </c>
      <c r="D650" s="25" t="n">
        <f aca="false">IF(A650&lt;=Penalty!$B$8,C650+F649+IF(A650&gt;Penalty!$B$19,Penalty!$I$5,0)+G649,0)</f>
        <v>0</v>
      </c>
      <c r="E650" s="26" t="n">
        <f aca="false">D650*B650/365</f>
        <v>0</v>
      </c>
      <c r="F650" s="25" t="n">
        <f aca="false">F649+E650*(1-IF(D650&gt;0,(IF(A650&gt;Penalty!$B$19,Penalty!$I$5,0)+G649)/D650,0))</f>
        <v>345.789278153858</v>
      </c>
      <c r="G650" s="25" t="n">
        <f aca="false">G649+E650*IF(D650&gt;0,(IF(A650&gt;Penalty!$B$19,Penalty!$I$5,0)+G649)/D650,0)</f>
        <v>46.6815525507708</v>
      </c>
    </row>
    <row r="651" customFormat="false" ht="15" hidden="false" customHeight="false" outlineLevel="0" collapsed="false">
      <c r="A651" s="23" t="n">
        <f aca="false">Penalty!$B$5+647</f>
        <v>46774</v>
      </c>
      <c r="B651" s="24" t="n">
        <f aca="false">IF(YEAR(A651)&gt;2026,Penalty!$B$16/100,IFERROR(INDEX(Rates!$B$4:$E$15,MATCH(YEAR(A651),Rates!$A$4:$A$15,0),ROUNDUP(MONTH(A651)/3,0))/100,0.03))</f>
        <v>0.07</v>
      </c>
      <c r="C651" s="25" t="n">
        <f aca="false">MAX(0,Penalty!$B$4-SUMIFS(Penalty!$C$10:$C$12,Penalty!$B$10:$B$12,"&lt;"&amp;A651))</f>
        <v>12000</v>
      </c>
      <c r="D651" s="25" t="n">
        <f aca="false">IF(A651&lt;=Penalty!$B$8,C651+F650+IF(A651&gt;Penalty!$B$19,Penalty!$I$5,0)+G650,0)</f>
        <v>0</v>
      </c>
      <c r="E651" s="26" t="n">
        <f aca="false">D651*B651/365</f>
        <v>0</v>
      </c>
      <c r="F651" s="25" t="n">
        <f aca="false">F650+E651*(1-IF(D651&gt;0,(IF(A651&gt;Penalty!$B$19,Penalty!$I$5,0)+G650)/D651,0))</f>
        <v>345.789278153858</v>
      </c>
      <c r="G651" s="25" t="n">
        <f aca="false">G650+E651*IF(D651&gt;0,(IF(A651&gt;Penalty!$B$19,Penalty!$I$5,0)+G650)/D651,0)</f>
        <v>46.6815525507708</v>
      </c>
    </row>
    <row r="652" customFormat="false" ht="15" hidden="false" customHeight="false" outlineLevel="0" collapsed="false">
      <c r="A652" s="23" t="n">
        <f aca="false">Penalty!$B$5+648</f>
        <v>46775</v>
      </c>
      <c r="B652" s="24" t="n">
        <f aca="false">IF(YEAR(A652)&gt;2026,Penalty!$B$16/100,IFERROR(INDEX(Rates!$B$4:$E$15,MATCH(YEAR(A652),Rates!$A$4:$A$15,0),ROUNDUP(MONTH(A652)/3,0))/100,0.03))</f>
        <v>0.07</v>
      </c>
      <c r="C652" s="25" t="n">
        <f aca="false">MAX(0,Penalty!$B$4-SUMIFS(Penalty!$C$10:$C$12,Penalty!$B$10:$B$12,"&lt;"&amp;A652))</f>
        <v>12000</v>
      </c>
      <c r="D652" s="25" t="n">
        <f aca="false">IF(A652&lt;=Penalty!$B$8,C652+F651+IF(A652&gt;Penalty!$B$19,Penalty!$I$5,0)+G651,0)</f>
        <v>0</v>
      </c>
      <c r="E652" s="26" t="n">
        <f aca="false">D652*B652/365</f>
        <v>0</v>
      </c>
      <c r="F652" s="25" t="n">
        <f aca="false">F651+E652*(1-IF(D652&gt;0,(IF(A652&gt;Penalty!$B$19,Penalty!$I$5,0)+G651)/D652,0))</f>
        <v>345.789278153858</v>
      </c>
      <c r="G652" s="25" t="n">
        <f aca="false">G651+E652*IF(D652&gt;0,(IF(A652&gt;Penalty!$B$19,Penalty!$I$5,0)+G651)/D652,0)</f>
        <v>46.6815525507708</v>
      </c>
    </row>
    <row r="653" customFormat="false" ht="15" hidden="false" customHeight="false" outlineLevel="0" collapsed="false">
      <c r="A653" s="23" t="n">
        <f aca="false">Penalty!$B$5+649</f>
        <v>46776</v>
      </c>
      <c r="B653" s="24" t="n">
        <f aca="false">IF(YEAR(A653)&gt;2026,Penalty!$B$16/100,IFERROR(INDEX(Rates!$B$4:$E$15,MATCH(YEAR(A653),Rates!$A$4:$A$15,0),ROUNDUP(MONTH(A653)/3,0))/100,0.03))</f>
        <v>0.07</v>
      </c>
      <c r="C653" s="25" t="n">
        <f aca="false">MAX(0,Penalty!$B$4-SUMIFS(Penalty!$C$10:$C$12,Penalty!$B$10:$B$12,"&lt;"&amp;A653))</f>
        <v>12000</v>
      </c>
      <c r="D653" s="25" t="n">
        <f aca="false">IF(A653&lt;=Penalty!$B$8,C653+F652+IF(A653&gt;Penalty!$B$19,Penalty!$I$5,0)+G652,0)</f>
        <v>0</v>
      </c>
      <c r="E653" s="26" t="n">
        <f aca="false">D653*B653/365</f>
        <v>0</v>
      </c>
      <c r="F653" s="25" t="n">
        <f aca="false">F652+E653*(1-IF(D653&gt;0,(IF(A653&gt;Penalty!$B$19,Penalty!$I$5,0)+G652)/D653,0))</f>
        <v>345.789278153858</v>
      </c>
      <c r="G653" s="25" t="n">
        <f aca="false">G652+E653*IF(D653&gt;0,(IF(A653&gt;Penalty!$B$19,Penalty!$I$5,0)+G652)/D653,0)</f>
        <v>46.6815525507708</v>
      </c>
    </row>
    <row r="654" customFormat="false" ht="15" hidden="false" customHeight="false" outlineLevel="0" collapsed="false">
      <c r="A654" s="23" t="n">
        <f aca="false">Penalty!$B$5+650</f>
        <v>46777</v>
      </c>
      <c r="B654" s="24" t="n">
        <f aca="false">IF(YEAR(A654)&gt;2026,Penalty!$B$16/100,IFERROR(INDEX(Rates!$B$4:$E$15,MATCH(YEAR(A654),Rates!$A$4:$A$15,0),ROUNDUP(MONTH(A654)/3,0))/100,0.03))</f>
        <v>0.07</v>
      </c>
      <c r="C654" s="25" t="n">
        <f aca="false">MAX(0,Penalty!$B$4-SUMIFS(Penalty!$C$10:$C$12,Penalty!$B$10:$B$12,"&lt;"&amp;A654))</f>
        <v>12000</v>
      </c>
      <c r="D654" s="25" t="n">
        <f aca="false">IF(A654&lt;=Penalty!$B$8,C654+F653+IF(A654&gt;Penalty!$B$19,Penalty!$I$5,0)+G653,0)</f>
        <v>0</v>
      </c>
      <c r="E654" s="26" t="n">
        <f aca="false">D654*B654/365</f>
        <v>0</v>
      </c>
      <c r="F654" s="25" t="n">
        <f aca="false">F653+E654*(1-IF(D654&gt;0,(IF(A654&gt;Penalty!$B$19,Penalty!$I$5,0)+G653)/D654,0))</f>
        <v>345.789278153858</v>
      </c>
      <c r="G654" s="25" t="n">
        <f aca="false">G653+E654*IF(D654&gt;0,(IF(A654&gt;Penalty!$B$19,Penalty!$I$5,0)+G653)/D654,0)</f>
        <v>46.6815525507708</v>
      </c>
    </row>
    <row r="655" customFormat="false" ht="15" hidden="false" customHeight="false" outlineLevel="0" collapsed="false">
      <c r="A655" s="23" t="n">
        <f aca="false">Penalty!$B$5+651</f>
        <v>46778</v>
      </c>
      <c r="B655" s="24" t="n">
        <f aca="false">IF(YEAR(A655)&gt;2026,Penalty!$B$16/100,IFERROR(INDEX(Rates!$B$4:$E$15,MATCH(YEAR(A655),Rates!$A$4:$A$15,0),ROUNDUP(MONTH(A655)/3,0))/100,0.03))</f>
        <v>0.07</v>
      </c>
      <c r="C655" s="25" t="n">
        <f aca="false">MAX(0,Penalty!$B$4-SUMIFS(Penalty!$C$10:$C$12,Penalty!$B$10:$B$12,"&lt;"&amp;A655))</f>
        <v>12000</v>
      </c>
      <c r="D655" s="25" t="n">
        <f aca="false">IF(A655&lt;=Penalty!$B$8,C655+F654+IF(A655&gt;Penalty!$B$19,Penalty!$I$5,0)+G654,0)</f>
        <v>0</v>
      </c>
      <c r="E655" s="26" t="n">
        <f aca="false">D655*B655/365</f>
        <v>0</v>
      </c>
      <c r="F655" s="25" t="n">
        <f aca="false">F654+E655*(1-IF(D655&gt;0,(IF(A655&gt;Penalty!$B$19,Penalty!$I$5,0)+G654)/D655,0))</f>
        <v>345.789278153858</v>
      </c>
      <c r="G655" s="25" t="n">
        <f aca="false">G654+E655*IF(D655&gt;0,(IF(A655&gt;Penalty!$B$19,Penalty!$I$5,0)+G654)/D655,0)</f>
        <v>46.6815525507708</v>
      </c>
    </row>
    <row r="656" customFormat="false" ht="15" hidden="false" customHeight="false" outlineLevel="0" collapsed="false">
      <c r="A656" s="23" t="n">
        <f aca="false">Penalty!$B$5+652</f>
        <v>46779</v>
      </c>
      <c r="B656" s="24" t="n">
        <f aca="false">IF(YEAR(A656)&gt;2026,Penalty!$B$16/100,IFERROR(INDEX(Rates!$B$4:$E$15,MATCH(YEAR(A656),Rates!$A$4:$A$15,0),ROUNDUP(MONTH(A656)/3,0))/100,0.03))</f>
        <v>0.07</v>
      </c>
      <c r="C656" s="25" t="n">
        <f aca="false">MAX(0,Penalty!$B$4-SUMIFS(Penalty!$C$10:$C$12,Penalty!$B$10:$B$12,"&lt;"&amp;A656))</f>
        <v>12000</v>
      </c>
      <c r="D656" s="25" t="n">
        <f aca="false">IF(A656&lt;=Penalty!$B$8,C656+F655+IF(A656&gt;Penalty!$B$19,Penalty!$I$5,0)+G655,0)</f>
        <v>0</v>
      </c>
      <c r="E656" s="26" t="n">
        <f aca="false">D656*B656/365</f>
        <v>0</v>
      </c>
      <c r="F656" s="25" t="n">
        <f aca="false">F655+E656*(1-IF(D656&gt;0,(IF(A656&gt;Penalty!$B$19,Penalty!$I$5,0)+G655)/D656,0))</f>
        <v>345.789278153858</v>
      </c>
      <c r="G656" s="25" t="n">
        <f aca="false">G655+E656*IF(D656&gt;0,(IF(A656&gt;Penalty!$B$19,Penalty!$I$5,0)+G655)/D656,0)</f>
        <v>46.6815525507708</v>
      </c>
    </row>
    <row r="657" customFormat="false" ht="15" hidden="false" customHeight="false" outlineLevel="0" collapsed="false">
      <c r="A657" s="23" t="n">
        <f aca="false">Penalty!$B$5+653</f>
        <v>46780</v>
      </c>
      <c r="B657" s="24" t="n">
        <f aca="false">IF(YEAR(A657)&gt;2026,Penalty!$B$16/100,IFERROR(INDEX(Rates!$B$4:$E$15,MATCH(YEAR(A657),Rates!$A$4:$A$15,0),ROUNDUP(MONTH(A657)/3,0))/100,0.03))</f>
        <v>0.07</v>
      </c>
      <c r="C657" s="25" t="n">
        <f aca="false">MAX(0,Penalty!$B$4-SUMIFS(Penalty!$C$10:$C$12,Penalty!$B$10:$B$12,"&lt;"&amp;A657))</f>
        <v>12000</v>
      </c>
      <c r="D657" s="25" t="n">
        <f aca="false">IF(A657&lt;=Penalty!$B$8,C657+F656+IF(A657&gt;Penalty!$B$19,Penalty!$I$5,0)+G656,0)</f>
        <v>0</v>
      </c>
      <c r="E657" s="26" t="n">
        <f aca="false">D657*B657/365</f>
        <v>0</v>
      </c>
      <c r="F657" s="25" t="n">
        <f aca="false">F656+E657*(1-IF(D657&gt;0,(IF(A657&gt;Penalty!$B$19,Penalty!$I$5,0)+G656)/D657,0))</f>
        <v>345.789278153858</v>
      </c>
      <c r="G657" s="25" t="n">
        <f aca="false">G656+E657*IF(D657&gt;0,(IF(A657&gt;Penalty!$B$19,Penalty!$I$5,0)+G656)/D657,0)</f>
        <v>46.6815525507708</v>
      </c>
    </row>
    <row r="658" customFormat="false" ht="15" hidden="false" customHeight="false" outlineLevel="0" collapsed="false">
      <c r="A658" s="23" t="n">
        <f aca="false">Penalty!$B$5+654</f>
        <v>46781</v>
      </c>
      <c r="B658" s="24" t="n">
        <f aca="false">IF(YEAR(A658)&gt;2026,Penalty!$B$16/100,IFERROR(INDEX(Rates!$B$4:$E$15,MATCH(YEAR(A658),Rates!$A$4:$A$15,0),ROUNDUP(MONTH(A658)/3,0))/100,0.03))</f>
        <v>0.07</v>
      </c>
      <c r="C658" s="25" t="n">
        <f aca="false">MAX(0,Penalty!$B$4-SUMIFS(Penalty!$C$10:$C$12,Penalty!$B$10:$B$12,"&lt;"&amp;A658))</f>
        <v>12000</v>
      </c>
      <c r="D658" s="25" t="n">
        <f aca="false">IF(A658&lt;=Penalty!$B$8,C658+F657+IF(A658&gt;Penalty!$B$19,Penalty!$I$5,0)+G657,0)</f>
        <v>0</v>
      </c>
      <c r="E658" s="26" t="n">
        <f aca="false">D658*B658/365</f>
        <v>0</v>
      </c>
      <c r="F658" s="25" t="n">
        <f aca="false">F657+E658*(1-IF(D658&gt;0,(IF(A658&gt;Penalty!$B$19,Penalty!$I$5,0)+G657)/D658,0))</f>
        <v>345.789278153858</v>
      </c>
      <c r="G658" s="25" t="n">
        <f aca="false">G657+E658*IF(D658&gt;0,(IF(A658&gt;Penalty!$B$19,Penalty!$I$5,0)+G657)/D658,0)</f>
        <v>46.6815525507708</v>
      </c>
    </row>
    <row r="659" customFormat="false" ht="15" hidden="false" customHeight="false" outlineLevel="0" collapsed="false">
      <c r="A659" s="23" t="n">
        <f aca="false">Penalty!$B$5+655</f>
        <v>46782</v>
      </c>
      <c r="B659" s="24" t="n">
        <f aca="false">IF(YEAR(A659)&gt;2026,Penalty!$B$16/100,IFERROR(INDEX(Rates!$B$4:$E$15,MATCH(YEAR(A659),Rates!$A$4:$A$15,0),ROUNDUP(MONTH(A659)/3,0))/100,0.03))</f>
        <v>0.07</v>
      </c>
      <c r="C659" s="25" t="n">
        <f aca="false">MAX(0,Penalty!$B$4-SUMIFS(Penalty!$C$10:$C$12,Penalty!$B$10:$B$12,"&lt;"&amp;A659))</f>
        <v>12000</v>
      </c>
      <c r="D659" s="25" t="n">
        <f aca="false">IF(A659&lt;=Penalty!$B$8,C659+F658+IF(A659&gt;Penalty!$B$19,Penalty!$I$5,0)+G658,0)</f>
        <v>0</v>
      </c>
      <c r="E659" s="26" t="n">
        <f aca="false">D659*B659/365</f>
        <v>0</v>
      </c>
      <c r="F659" s="25" t="n">
        <f aca="false">F658+E659*(1-IF(D659&gt;0,(IF(A659&gt;Penalty!$B$19,Penalty!$I$5,0)+G658)/D659,0))</f>
        <v>345.789278153858</v>
      </c>
      <c r="G659" s="25" t="n">
        <f aca="false">G658+E659*IF(D659&gt;0,(IF(A659&gt;Penalty!$B$19,Penalty!$I$5,0)+G658)/D659,0)</f>
        <v>46.6815525507708</v>
      </c>
    </row>
    <row r="660" customFormat="false" ht="15" hidden="false" customHeight="false" outlineLevel="0" collapsed="false">
      <c r="A660" s="23" t="n">
        <f aca="false">Penalty!$B$5+656</f>
        <v>46783</v>
      </c>
      <c r="B660" s="24" t="n">
        <f aca="false">IF(YEAR(A660)&gt;2026,Penalty!$B$16/100,IFERROR(INDEX(Rates!$B$4:$E$15,MATCH(YEAR(A660),Rates!$A$4:$A$15,0),ROUNDUP(MONTH(A660)/3,0))/100,0.03))</f>
        <v>0.07</v>
      </c>
      <c r="C660" s="25" t="n">
        <f aca="false">MAX(0,Penalty!$B$4-SUMIFS(Penalty!$C$10:$C$12,Penalty!$B$10:$B$12,"&lt;"&amp;A660))</f>
        <v>12000</v>
      </c>
      <c r="D660" s="25" t="n">
        <f aca="false">IF(A660&lt;=Penalty!$B$8,C660+F659+IF(A660&gt;Penalty!$B$19,Penalty!$I$5,0)+G659,0)</f>
        <v>0</v>
      </c>
      <c r="E660" s="26" t="n">
        <f aca="false">D660*B660/365</f>
        <v>0</v>
      </c>
      <c r="F660" s="25" t="n">
        <f aca="false">F659+E660*(1-IF(D660&gt;0,(IF(A660&gt;Penalty!$B$19,Penalty!$I$5,0)+G659)/D660,0))</f>
        <v>345.789278153858</v>
      </c>
      <c r="G660" s="25" t="n">
        <f aca="false">G659+E660*IF(D660&gt;0,(IF(A660&gt;Penalty!$B$19,Penalty!$I$5,0)+G659)/D660,0)</f>
        <v>46.6815525507708</v>
      </c>
    </row>
    <row r="661" customFormat="false" ht="15" hidden="false" customHeight="false" outlineLevel="0" collapsed="false">
      <c r="A661" s="23" t="n">
        <f aca="false">Penalty!$B$5+657</f>
        <v>46784</v>
      </c>
      <c r="B661" s="24" t="n">
        <f aca="false">IF(YEAR(A661)&gt;2026,Penalty!$B$16/100,IFERROR(INDEX(Rates!$B$4:$E$15,MATCH(YEAR(A661),Rates!$A$4:$A$15,0),ROUNDUP(MONTH(A661)/3,0))/100,0.03))</f>
        <v>0.07</v>
      </c>
      <c r="C661" s="25" t="n">
        <f aca="false">MAX(0,Penalty!$B$4-SUMIFS(Penalty!$C$10:$C$12,Penalty!$B$10:$B$12,"&lt;"&amp;A661))</f>
        <v>12000</v>
      </c>
      <c r="D661" s="25" t="n">
        <f aca="false">IF(A661&lt;=Penalty!$B$8,C661+F660+IF(A661&gt;Penalty!$B$19,Penalty!$I$5,0)+G660,0)</f>
        <v>0</v>
      </c>
      <c r="E661" s="26" t="n">
        <f aca="false">D661*B661/365</f>
        <v>0</v>
      </c>
      <c r="F661" s="25" t="n">
        <f aca="false">F660+E661*(1-IF(D661&gt;0,(IF(A661&gt;Penalty!$B$19,Penalty!$I$5,0)+G660)/D661,0))</f>
        <v>345.789278153858</v>
      </c>
      <c r="G661" s="25" t="n">
        <f aca="false">G660+E661*IF(D661&gt;0,(IF(A661&gt;Penalty!$B$19,Penalty!$I$5,0)+G660)/D661,0)</f>
        <v>46.6815525507708</v>
      </c>
    </row>
    <row r="662" customFormat="false" ht="15" hidden="false" customHeight="false" outlineLevel="0" collapsed="false">
      <c r="A662" s="23" t="n">
        <f aca="false">Penalty!$B$5+658</f>
        <v>46785</v>
      </c>
      <c r="B662" s="24" t="n">
        <f aca="false">IF(YEAR(A662)&gt;2026,Penalty!$B$16/100,IFERROR(INDEX(Rates!$B$4:$E$15,MATCH(YEAR(A662),Rates!$A$4:$A$15,0),ROUNDUP(MONTH(A662)/3,0))/100,0.03))</f>
        <v>0.07</v>
      </c>
      <c r="C662" s="25" t="n">
        <f aca="false">MAX(0,Penalty!$B$4-SUMIFS(Penalty!$C$10:$C$12,Penalty!$B$10:$B$12,"&lt;"&amp;A662))</f>
        <v>12000</v>
      </c>
      <c r="D662" s="25" t="n">
        <f aca="false">IF(A662&lt;=Penalty!$B$8,C662+F661+IF(A662&gt;Penalty!$B$19,Penalty!$I$5,0)+G661,0)</f>
        <v>0</v>
      </c>
      <c r="E662" s="26" t="n">
        <f aca="false">D662*B662/365</f>
        <v>0</v>
      </c>
      <c r="F662" s="25" t="n">
        <f aca="false">F661+E662*(1-IF(D662&gt;0,(IF(A662&gt;Penalty!$B$19,Penalty!$I$5,0)+G661)/D662,0))</f>
        <v>345.789278153858</v>
      </c>
      <c r="G662" s="25" t="n">
        <f aca="false">G661+E662*IF(D662&gt;0,(IF(A662&gt;Penalty!$B$19,Penalty!$I$5,0)+G661)/D662,0)</f>
        <v>46.6815525507708</v>
      </c>
    </row>
    <row r="663" customFormat="false" ht="15" hidden="false" customHeight="false" outlineLevel="0" collapsed="false">
      <c r="A663" s="23" t="n">
        <f aca="false">Penalty!$B$5+659</f>
        <v>46786</v>
      </c>
      <c r="B663" s="24" t="n">
        <f aca="false">IF(YEAR(A663)&gt;2026,Penalty!$B$16/100,IFERROR(INDEX(Rates!$B$4:$E$15,MATCH(YEAR(A663),Rates!$A$4:$A$15,0),ROUNDUP(MONTH(A663)/3,0))/100,0.03))</f>
        <v>0.07</v>
      </c>
      <c r="C663" s="25" t="n">
        <f aca="false">MAX(0,Penalty!$B$4-SUMIFS(Penalty!$C$10:$C$12,Penalty!$B$10:$B$12,"&lt;"&amp;A663))</f>
        <v>12000</v>
      </c>
      <c r="D663" s="25" t="n">
        <f aca="false">IF(A663&lt;=Penalty!$B$8,C663+F662+IF(A663&gt;Penalty!$B$19,Penalty!$I$5,0)+G662,0)</f>
        <v>0</v>
      </c>
      <c r="E663" s="26" t="n">
        <f aca="false">D663*B663/365</f>
        <v>0</v>
      </c>
      <c r="F663" s="25" t="n">
        <f aca="false">F662+E663*(1-IF(D663&gt;0,(IF(A663&gt;Penalty!$B$19,Penalty!$I$5,0)+G662)/D663,0))</f>
        <v>345.789278153858</v>
      </c>
      <c r="G663" s="25" t="n">
        <f aca="false">G662+E663*IF(D663&gt;0,(IF(A663&gt;Penalty!$B$19,Penalty!$I$5,0)+G662)/D663,0)</f>
        <v>46.6815525507708</v>
      </c>
    </row>
    <row r="664" customFormat="false" ht="15" hidden="false" customHeight="false" outlineLevel="0" collapsed="false">
      <c r="A664" s="23" t="n">
        <f aca="false">Penalty!$B$5+660</f>
        <v>46787</v>
      </c>
      <c r="B664" s="24" t="n">
        <f aca="false">IF(YEAR(A664)&gt;2026,Penalty!$B$16/100,IFERROR(INDEX(Rates!$B$4:$E$15,MATCH(YEAR(A664),Rates!$A$4:$A$15,0),ROUNDUP(MONTH(A664)/3,0))/100,0.03))</f>
        <v>0.07</v>
      </c>
      <c r="C664" s="25" t="n">
        <f aca="false">MAX(0,Penalty!$B$4-SUMIFS(Penalty!$C$10:$C$12,Penalty!$B$10:$B$12,"&lt;"&amp;A664))</f>
        <v>12000</v>
      </c>
      <c r="D664" s="25" t="n">
        <f aca="false">IF(A664&lt;=Penalty!$B$8,C664+F663+IF(A664&gt;Penalty!$B$19,Penalty!$I$5,0)+G663,0)</f>
        <v>0</v>
      </c>
      <c r="E664" s="26" t="n">
        <f aca="false">D664*B664/365</f>
        <v>0</v>
      </c>
      <c r="F664" s="25" t="n">
        <f aca="false">F663+E664*(1-IF(D664&gt;0,(IF(A664&gt;Penalty!$B$19,Penalty!$I$5,0)+G663)/D664,0))</f>
        <v>345.789278153858</v>
      </c>
      <c r="G664" s="25" t="n">
        <f aca="false">G663+E664*IF(D664&gt;0,(IF(A664&gt;Penalty!$B$19,Penalty!$I$5,0)+G663)/D664,0)</f>
        <v>46.6815525507708</v>
      </c>
    </row>
    <row r="665" customFormat="false" ht="15" hidden="false" customHeight="false" outlineLevel="0" collapsed="false">
      <c r="A665" s="23" t="n">
        <f aca="false">Penalty!$B$5+661</f>
        <v>46788</v>
      </c>
      <c r="B665" s="24" t="n">
        <f aca="false">IF(YEAR(A665)&gt;2026,Penalty!$B$16/100,IFERROR(INDEX(Rates!$B$4:$E$15,MATCH(YEAR(A665),Rates!$A$4:$A$15,0),ROUNDUP(MONTH(A665)/3,0))/100,0.03))</f>
        <v>0.07</v>
      </c>
      <c r="C665" s="25" t="n">
        <f aca="false">MAX(0,Penalty!$B$4-SUMIFS(Penalty!$C$10:$C$12,Penalty!$B$10:$B$12,"&lt;"&amp;A665))</f>
        <v>12000</v>
      </c>
      <c r="D665" s="25" t="n">
        <f aca="false">IF(A665&lt;=Penalty!$B$8,C665+F664+IF(A665&gt;Penalty!$B$19,Penalty!$I$5,0)+G664,0)</f>
        <v>0</v>
      </c>
      <c r="E665" s="26" t="n">
        <f aca="false">D665*B665/365</f>
        <v>0</v>
      </c>
      <c r="F665" s="25" t="n">
        <f aca="false">F664+E665*(1-IF(D665&gt;0,(IF(A665&gt;Penalty!$B$19,Penalty!$I$5,0)+G664)/D665,0))</f>
        <v>345.789278153858</v>
      </c>
      <c r="G665" s="25" t="n">
        <f aca="false">G664+E665*IF(D665&gt;0,(IF(A665&gt;Penalty!$B$19,Penalty!$I$5,0)+G664)/D665,0)</f>
        <v>46.6815525507708</v>
      </c>
    </row>
    <row r="666" customFormat="false" ht="15" hidden="false" customHeight="false" outlineLevel="0" collapsed="false">
      <c r="A666" s="23" t="n">
        <f aca="false">Penalty!$B$5+662</f>
        <v>46789</v>
      </c>
      <c r="B666" s="24" t="n">
        <f aca="false">IF(YEAR(A666)&gt;2026,Penalty!$B$16/100,IFERROR(INDEX(Rates!$B$4:$E$15,MATCH(YEAR(A666),Rates!$A$4:$A$15,0),ROUNDUP(MONTH(A666)/3,0))/100,0.03))</f>
        <v>0.07</v>
      </c>
      <c r="C666" s="25" t="n">
        <f aca="false">MAX(0,Penalty!$B$4-SUMIFS(Penalty!$C$10:$C$12,Penalty!$B$10:$B$12,"&lt;"&amp;A666))</f>
        <v>12000</v>
      </c>
      <c r="D666" s="25" t="n">
        <f aca="false">IF(A666&lt;=Penalty!$B$8,C666+F665+IF(A666&gt;Penalty!$B$19,Penalty!$I$5,0)+G665,0)</f>
        <v>0</v>
      </c>
      <c r="E666" s="26" t="n">
        <f aca="false">D666*B666/365</f>
        <v>0</v>
      </c>
      <c r="F666" s="25" t="n">
        <f aca="false">F665+E666*(1-IF(D666&gt;0,(IF(A666&gt;Penalty!$B$19,Penalty!$I$5,0)+G665)/D666,0))</f>
        <v>345.789278153858</v>
      </c>
      <c r="G666" s="25" t="n">
        <f aca="false">G665+E666*IF(D666&gt;0,(IF(A666&gt;Penalty!$B$19,Penalty!$I$5,0)+G665)/D666,0)</f>
        <v>46.6815525507708</v>
      </c>
    </row>
    <row r="667" customFormat="false" ht="15" hidden="false" customHeight="false" outlineLevel="0" collapsed="false">
      <c r="A667" s="23" t="n">
        <f aca="false">Penalty!$B$5+663</f>
        <v>46790</v>
      </c>
      <c r="B667" s="24" t="n">
        <f aca="false">IF(YEAR(A667)&gt;2026,Penalty!$B$16/100,IFERROR(INDEX(Rates!$B$4:$E$15,MATCH(YEAR(A667),Rates!$A$4:$A$15,0),ROUNDUP(MONTH(A667)/3,0))/100,0.03))</f>
        <v>0.07</v>
      </c>
      <c r="C667" s="25" t="n">
        <f aca="false">MAX(0,Penalty!$B$4-SUMIFS(Penalty!$C$10:$C$12,Penalty!$B$10:$B$12,"&lt;"&amp;A667))</f>
        <v>12000</v>
      </c>
      <c r="D667" s="25" t="n">
        <f aca="false">IF(A667&lt;=Penalty!$B$8,C667+F666+IF(A667&gt;Penalty!$B$19,Penalty!$I$5,0)+G666,0)</f>
        <v>0</v>
      </c>
      <c r="E667" s="26" t="n">
        <f aca="false">D667*B667/365</f>
        <v>0</v>
      </c>
      <c r="F667" s="25" t="n">
        <f aca="false">F666+E667*(1-IF(D667&gt;0,(IF(A667&gt;Penalty!$B$19,Penalty!$I$5,0)+G666)/D667,0))</f>
        <v>345.789278153858</v>
      </c>
      <c r="G667" s="25" t="n">
        <f aca="false">G666+E667*IF(D667&gt;0,(IF(A667&gt;Penalty!$B$19,Penalty!$I$5,0)+G666)/D667,0)</f>
        <v>46.6815525507708</v>
      </c>
    </row>
    <row r="668" customFormat="false" ht="15" hidden="false" customHeight="false" outlineLevel="0" collapsed="false">
      <c r="A668" s="23" t="n">
        <f aca="false">Penalty!$B$5+664</f>
        <v>46791</v>
      </c>
      <c r="B668" s="24" t="n">
        <f aca="false">IF(YEAR(A668)&gt;2026,Penalty!$B$16/100,IFERROR(INDEX(Rates!$B$4:$E$15,MATCH(YEAR(A668),Rates!$A$4:$A$15,0),ROUNDUP(MONTH(A668)/3,0))/100,0.03))</f>
        <v>0.07</v>
      </c>
      <c r="C668" s="25" t="n">
        <f aca="false">MAX(0,Penalty!$B$4-SUMIFS(Penalty!$C$10:$C$12,Penalty!$B$10:$B$12,"&lt;"&amp;A668))</f>
        <v>12000</v>
      </c>
      <c r="D668" s="25" t="n">
        <f aca="false">IF(A668&lt;=Penalty!$B$8,C668+F667+IF(A668&gt;Penalty!$B$19,Penalty!$I$5,0)+G667,0)</f>
        <v>0</v>
      </c>
      <c r="E668" s="26" t="n">
        <f aca="false">D668*B668/365</f>
        <v>0</v>
      </c>
      <c r="F668" s="25" t="n">
        <f aca="false">F667+E668*(1-IF(D668&gt;0,(IF(A668&gt;Penalty!$B$19,Penalty!$I$5,0)+G667)/D668,0))</f>
        <v>345.789278153858</v>
      </c>
      <c r="G668" s="25" t="n">
        <f aca="false">G667+E668*IF(D668&gt;0,(IF(A668&gt;Penalty!$B$19,Penalty!$I$5,0)+G667)/D668,0)</f>
        <v>46.6815525507708</v>
      </c>
    </row>
    <row r="669" customFormat="false" ht="15" hidden="false" customHeight="false" outlineLevel="0" collapsed="false">
      <c r="A669" s="23" t="n">
        <f aca="false">Penalty!$B$5+665</f>
        <v>46792</v>
      </c>
      <c r="B669" s="24" t="n">
        <f aca="false">IF(YEAR(A669)&gt;2026,Penalty!$B$16/100,IFERROR(INDEX(Rates!$B$4:$E$15,MATCH(YEAR(A669),Rates!$A$4:$A$15,0),ROUNDUP(MONTH(A669)/3,0))/100,0.03))</f>
        <v>0.07</v>
      </c>
      <c r="C669" s="25" t="n">
        <f aca="false">MAX(0,Penalty!$B$4-SUMIFS(Penalty!$C$10:$C$12,Penalty!$B$10:$B$12,"&lt;"&amp;A669))</f>
        <v>12000</v>
      </c>
      <c r="D669" s="25" t="n">
        <f aca="false">IF(A669&lt;=Penalty!$B$8,C669+F668+IF(A669&gt;Penalty!$B$19,Penalty!$I$5,0)+G668,0)</f>
        <v>0</v>
      </c>
      <c r="E669" s="26" t="n">
        <f aca="false">D669*B669/365</f>
        <v>0</v>
      </c>
      <c r="F669" s="25" t="n">
        <f aca="false">F668+E669*(1-IF(D669&gt;0,(IF(A669&gt;Penalty!$B$19,Penalty!$I$5,0)+G668)/D669,0))</f>
        <v>345.789278153858</v>
      </c>
      <c r="G669" s="25" t="n">
        <f aca="false">G668+E669*IF(D669&gt;0,(IF(A669&gt;Penalty!$B$19,Penalty!$I$5,0)+G668)/D669,0)</f>
        <v>46.6815525507708</v>
      </c>
    </row>
    <row r="670" customFormat="false" ht="15" hidden="false" customHeight="false" outlineLevel="0" collapsed="false">
      <c r="A670" s="23" t="n">
        <f aca="false">Penalty!$B$5+666</f>
        <v>46793</v>
      </c>
      <c r="B670" s="24" t="n">
        <f aca="false">IF(YEAR(A670)&gt;2026,Penalty!$B$16/100,IFERROR(INDEX(Rates!$B$4:$E$15,MATCH(YEAR(A670),Rates!$A$4:$A$15,0),ROUNDUP(MONTH(A670)/3,0))/100,0.03))</f>
        <v>0.07</v>
      </c>
      <c r="C670" s="25" t="n">
        <f aca="false">MAX(0,Penalty!$B$4-SUMIFS(Penalty!$C$10:$C$12,Penalty!$B$10:$B$12,"&lt;"&amp;A670))</f>
        <v>12000</v>
      </c>
      <c r="D670" s="25" t="n">
        <f aca="false">IF(A670&lt;=Penalty!$B$8,C670+F669+IF(A670&gt;Penalty!$B$19,Penalty!$I$5,0)+G669,0)</f>
        <v>0</v>
      </c>
      <c r="E670" s="26" t="n">
        <f aca="false">D670*B670/365</f>
        <v>0</v>
      </c>
      <c r="F670" s="25" t="n">
        <f aca="false">F669+E670*(1-IF(D670&gt;0,(IF(A670&gt;Penalty!$B$19,Penalty!$I$5,0)+G669)/D670,0))</f>
        <v>345.789278153858</v>
      </c>
      <c r="G670" s="25" t="n">
        <f aca="false">G669+E670*IF(D670&gt;0,(IF(A670&gt;Penalty!$B$19,Penalty!$I$5,0)+G669)/D670,0)</f>
        <v>46.6815525507708</v>
      </c>
    </row>
    <row r="671" customFormat="false" ht="15" hidden="false" customHeight="false" outlineLevel="0" collapsed="false">
      <c r="A671" s="23" t="n">
        <f aca="false">Penalty!$B$5+667</f>
        <v>46794</v>
      </c>
      <c r="B671" s="24" t="n">
        <f aca="false">IF(YEAR(A671)&gt;2026,Penalty!$B$16/100,IFERROR(INDEX(Rates!$B$4:$E$15,MATCH(YEAR(A671),Rates!$A$4:$A$15,0),ROUNDUP(MONTH(A671)/3,0))/100,0.03))</f>
        <v>0.07</v>
      </c>
      <c r="C671" s="25" t="n">
        <f aca="false">MAX(0,Penalty!$B$4-SUMIFS(Penalty!$C$10:$C$12,Penalty!$B$10:$B$12,"&lt;"&amp;A671))</f>
        <v>12000</v>
      </c>
      <c r="D671" s="25" t="n">
        <f aca="false">IF(A671&lt;=Penalty!$B$8,C671+F670+IF(A671&gt;Penalty!$B$19,Penalty!$I$5,0)+G670,0)</f>
        <v>0</v>
      </c>
      <c r="E671" s="26" t="n">
        <f aca="false">D671*B671/365</f>
        <v>0</v>
      </c>
      <c r="F671" s="25" t="n">
        <f aca="false">F670+E671*(1-IF(D671&gt;0,(IF(A671&gt;Penalty!$B$19,Penalty!$I$5,0)+G670)/D671,0))</f>
        <v>345.789278153858</v>
      </c>
      <c r="G671" s="25" t="n">
        <f aca="false">G670+E671*IF(D671&gt;0,(IF(A671&gt;Penalty!$B$19,Penalty!$I$5,0)+G670)/D671,0)</f>
        <v>46.6815525507708</v>
      </c>
    </row>
    <row r="672" customFormat="false" ht="15" hidden="false" customHeight="false" outlineLevel="0" collapsed="false">
      <c r="A672" s="23" t="n">
        <f aca="false">Penalty!$B$5+668</f>
        <v>46795</v>
      </c>
      <c r="B672" s="24" t="n">
        <f aca="false">IF(YEAR(A672)&gt;2026,Penalty!$B$16/100,IFERROR(INDEX(Rates!$B$4:$E$15,MATCH(YEAR(A672),Rates!$A$4:$A$15,0),ROUNDUP(MONTH(A672)/3,0))/100,0.03))</f>
        <v>0.07</v>
      </c>
      <c r="C672" s="25" t="n">
        <f aca="false">MAX(0,Penalty!$B$4-SUMIFS(Penalty!$C$10:$C$12,Penalty!$B$10:$B$12,"&lt;"&amp;A672))</f>
        <v>12000</v>
      </c>
      <c r="D672" s="25" t="n">
        <f aca="false">IF(A672&lt;=Penalty!$B$8,C672+F671+IF(A672&gt;Penalty!$B$19,Penalty!$I$5,0)+G671,0)</f>
        <v>0</v>
      </c>
      <c r="E672" s="26" t="n">
        <f aca="false">D672*B672/365</f>
        <v>0</v>
      </c>
      <c r="F672" s="25" t="n">
        <f aca="false">F671+E672*(1-IF(D672&gt;0,(IF(A672&gt;Penalty!$B$19,Penalty!$I$5,0)+G671)/D672,0))</f>
        <v>345.789278153858</v>
      </c>
      <c r="G672" s="25" t="n">
        <f aca="false">G671+E672*IF(D672&gt;0,(IF(A672&gt;Penalty!$B$19,Penalty!$I$5,0)+G671)/D672,0)</f>
        <v>46.6815525507708</v>
      </c>
    </row>
    <row r="673" customFormat="false" ht="15" hidden="false" customHeight="false" outlineLevel="0" collapsed="false">
      <c r="A673" s="23" t="n">
        <f aca="false">Penalty!$B$5+669</f>
        <v>46796</v>
      </c>
      <c r="B673" s="24" t="n">
        <f aca="false">IF(YEAR(A673)&gt;2026,Penalty!$B$16/100,IFERROR(INDEX(Rates!$B$4:$E$15,MATCH(YEAR(A673),Rates!$A$4:$A$15,0),ROUNDUP(MONTH(A673)/3,0))/100,0.03))</f>
        <v>0.07</v>
      </c>
      <c r="C673" s="25" t="n">
        <f aca="false">MAX(0,Penalty!$B$4-SUMIFS(Penalty!$C$10:$C$12,Penalty!$B$10:$B$12,"&lt;"&amp;A673))</f>
        <v>12000</v>
      </c>
      <c r="D673" s="25" t="n">
        <f aca="false">IF(A673&lt;=Penalty!$B$8,C673+F672+IF(A673&gt;Penalty!$B$19,Penalty!$I$5,0)+G672,0)</f>
        <v>0</v>
      </c>
      <c r="E673" s="26" t="n">
        <f aca="false">D673*B673/365</f>
        <v>0</v>
      </c>
      <c r="F673" s="25" t="n">
        <f aca="false">F672+E673*(1-IF(D673&gt;0,(IF(A673&gt;Penalty!$B$19,Penalty!$I$5,0)+G672)/D673,0))</f>
        <v>345.789278153858</v>
      </c>
      <c r="G673" s="25" t="n">
        <f aca="false">G672+E673*IF(D673&gt;0,(IF(A673&gt;Penalty!$B$19,Penalty!$I$5,0)+G672)/D673,0)</f>
        <v>46.6815525507708</v>
      </c>
    </row>
    <row r="674" customFormat="false" ht="15" hidden="false" customHeight="false" outlineLevel="0" collapsed="false">
      <c r="A674" s="23" t="n">
        <f aca="false">Penalty!$B$5+670</f>
        <v>46797</v>
      </c>
      <c r="B674" s="24" t="n">
        <f aca="false">IF(YEAR(A674)&gt;2026,Penalty!$B$16/100,IFERROR(INDEX(Rates!$B$4:$E$15,MATCH(YEAR(A674),Rates!$A$4:$A$15,0),ROUNDUP(MONTH(A674)/3,0))/100,0.03))</f>
        <v>0.07</v>
      </c>
      <c r="C674" s="25" t="n">
        <f aca="false">MAX(0,Penalty!$B$4-SUMIFS(Penalty!$C$10:$C$12,Penalty!$B$10:$B$12,"&lt;"&amp;A674))</f>
        <v>12000</v>
      </c>
      <c r="D674" s="25" t="n">
        <f aca="false">IF(A674&lt;=Penalty!$B$8,C674+F673+IF(A674&gt;Penalty!$B$19,Penalty!$I$5,0)+G673,0)</f>
        <v>0</v>
      </c>
      <c r="E674" s="26" t="n">
        <f aca="false">D674*B674/365</f>
        <v>0</v>
      </c>
      <c r="F674" s="25" t="n">
        <f aca="false">F673+E674*(1-IF(D674&gt;0,(IF(A674&gt;Penalty!$B$19,Penalty!$I$5,0)+G673)/D674,0))</f>
        <v>345.789278153858</v>
      </c>
      <c r="G674" s="25" t="n">
        <f aca="false">G673+E674*IF(D674&gt;0,(IF(A674&gt;Penalty!$B$19,Penalty!$I$5,0)+G673)/D674,0)</f>
        <v>46.6815525507708</v>
      </c>
    </row>
    <row r="675" customFormat="false" ht="15" hidden="false" customHeight="false" outlineLevel="0" collapsed="false">
      <c r="A675" s="23" t="n">
        <f aca="false">Penalty!$B$5+671</f>
        <v>46798</v>
      </c>
      <c r="B675" s="24" t="n">
        <f aca="false">IF(YEAR(A675)&gt;2026,Penalty!$B$16/100,IFERROR(INDEX(Rates!$B$4:$E$15,MATCH(YEAR(A675),Rates!$A$4:$A$15,0),ROUNDUP(MONTH(A675)/3,0))/100,0.03))</f>
        <v>0.07</v>
      </c>
      <c r="C675" s="25" t="n">
        <f aca="false">MAX(0,Penalty!$B$4-SUMIFS(Penalty!$C$10:$C$12,Penalty!$B$10:$B$12,"&lt;"&amp;A675))</f>
        <v>12000</v>
      </c>
      <c r="D675" s="25" t="n">
        <f aca="false">IF(A675&lt;=Penalty!$B$8,C675+F674+IF(A675&gt;Penalty!$B$19,Penalty!$I$5,0)+G674,0)</f>
        <v>0</v>
      </c>
      <c r="E675" s="26" t="n">
        <f aca="false">D675*B675/365</f>
        <v>0</v>
      </c>
      <c r="F675" s="25" t="n">
        <f aca="false">F674+E675*(1-IF(D675&gt;0,(IF(A675&gt;Penalty!$B$19,Penalty!$I$5,0)+G674)/D675,0))</f>
        <v>345.789278153858</v>
      </c>
      <c r="G675" s="25" t="n">
        <f aca="false">G674+E675*IF(D675&gt;0,(IF(A675&gt;Penalty!$B$19,Penalty!$I$5,0)+G674)/D675,0)</f>
        <v>46.6815525507708</v>
      </c>
    </row>
    <row r="676" customFormat="false" ht="15" hidden="false" customHeight="false" outlineLevel="0" collapsed="false">
      <c r="A676" s="23" t="n">
        <f aca="false">Penalty!$B$5+672</f>
        <v>46799</v>
      </c>
      <c r="B676" s="24" t="n">
        <f aca="false">IF(YEAR(A676)&gt;2026,Penalty!$B$16/100,IFERROR(INDEX(Rates!$B$4:$E$15,MATCH(YEAR(A676),Rates!$A$4:$A$15,0),ROUNDUP(MONTH(A676)/3,0))/100,0.03))</f>
        <v>0.07</v>
      </c>
      <c r="C676" s="25" t="n">
        <f aca="false">MAX(0,Penalty!$B$4-SUMIFS(Penalty!$C$10:$C$12,Penalty!$B$10:$B$12,"&lt;"&amp;A676))</f>
        <v>12000</v>
      </c>
      <c r="D676" s="25" t="n">
        <f aca="false">IF(A676&lt;=Penalty!$B$8,C676+F675+IF(A676&gt;Penalty!$B$19,Penalty!$I$5,0)+G675,0)</f>
        <v>0</v>
      </c>
      <c r="E676" s="26" t="n">
        <f aca="false">D676*B676/365</f>
        <v>0</v>
      </c>
      <c r="F676" s="25" t="n">
        <f aca="false">F675+E676*(1-IF(D676&gt;0,(IF(A676&gt;Penalty!$B$19,Penalty!$I$5,0)+G675)/D676,0))</f>
        <v>345.789278153858</v>
      </c>
      <c r="G676" s="25" t="n">
        <f aca="false">G675+E676*IF(D676&gt;0,(IF(A676&gt;Penalty!$B$19,Penalty!$I$5,0)+G675)/D676,0)</f>
        <v>46.6815525507708</v>
      </c>
    </row>
    <row r="677" customFormat="false" ht="15" hidden="false" customHeight="false" outlineLevel="0" collapsed="false">
      <c r="A677" s="23" t="n">
        <f aca="false">Penalty!$B$5+673</f>
        <v>46800</v>
      </c>
      <c r="B677" s="24" t="n">
        <f aca="false">IF(YEAR(A677)&gt;2026,Penalty!$B$16/100,IFERROR(INDEX(Rates!$B$4:$E$15,MATCH(YEAR(A677),Rates!$A$4:$A$15,0),ROUNDUP(MONTH(A677)/3,0))/100,0.03))</f>
        <v>0.07</v>
      </c>
      <c r="C677" s="25" t="n">
        <f aca="false">MAX(0,Penalty!$B$4-SUMIFS(Penalty!$C$10:$C$12,Penalty!$B$10:$B$12,"&lt;"&amp;A677))</f>
        <v>12000</v>
      </c>
      <c r="D677" s="25" t="n">
        <f aca="false">IF(A677&lt;=Penalty!$B$8,C677+F676+IF(A677&gt;Penalty!$B$19,Penalty!$I$5,0)+G676,0)</f>
        <v>0</v>
      </c>
      <c r="E677" s="26" t="n">
        <f aca="false">D677*B677/365</f>
        <v>0</v>
      </c>
      <c r="F677" s="25" t="n">
        <f aca="false">F676+E677*(1-IF(D677&gt;0,(IF(A677&gt;Penalty!$B$19,Penalty!$I$5,0)+G676)/D677,0))</f>
        <v>345.789278153858</v>
      </c>
      <c r="G677" s="25" t="n">
        <f aca="false">G676+E677*IF(D677&gt;0,(IF(A677&gt;Penalty!$B$19,Penalty!$I$5,0)+G676)/D677,0)</f>
        <v>46.6815525507708</v>
      </c>
    </row>
    <row r="678" customFormat="false" ht="15" hidden="false" customHeight="false" outlineLevel="0" collapsed="false">
      <c r="A678" s="23" t="n">
        <f aca="false">Penalty!$B$5+674</f>
        <v>46801</v>
      </c>
      <c r="B678" s="24" t="n">
        <f aca="false">IF(YEAR(A678)&gt;2026,Penalty!$B$16/100,IFERROR(INDEX(Rates!$B$4:$E$15,MATCH(YEAR(A678),Rates!$A$4:$A$15,0),ROUNDUP(MONTH(A678)/3,0))/100,0.03))</f>
        <v>0.07</v>
      </c>
      <c r="C678" s="25" t="n">
        <f aca="false">MAX(0,Penalty!$B$4-SUMIFS(Penalty!$C$10:$C$12,Penalty!$B$10:$B$12,"&lt;"&amp;A678))</f>
        <v>12000</v>
      </c>
      <c r="D678" s="25" t="n">
        <f aca="false">IF(A678&lt;=Penalty!$B$8,C678+F677+IF(A678&gt;Penalty!$B$19,Penalty!$I$5,0)+G677,0)</f>
        <v>0</v>
      </c>
      <c r="E678" s="26" t="n">
        <f aca="false">D678*B678/365</f>
        <v>0</v>
      </c>
      <c r="F678" s="25" t="n">
        <f aca="false">F677+E678*(1-IF(D678&gt;0,(IF(A678&gt;Penalty!$B$19,Penalty!$I$5,0)+G677)/D678,0))</f>
        <v>345.789278153858</v>
      </c>
      <c r="G678" s="25" t="n">
        <f aca="false">G677+E678*IF(D678&gt;0,(IF(A678&gt;Penalty!$B$19,Penalty!$I$5,0)+G677)/D678,0)</f>
        <v>46.6815525507708</v>
      </c>
    </row>
    <row r="679" customFormat="false" ht="15" hidden="false" customHeight="false" outlineLevel="0" collapsed="false">
      <c r="A679" s="23" t="n">
        <f aca="false">Penalty!$B$5+675</f>
        <v>46802</v>
      </c>
      <c r="B679" s="24" t="n">
        <f aca="false">IF(YEAR(A679)&gt;2026,Penalty!$B$16/100,IFERROR(INDEX(Rates!$B$4:$E$15,MATCH(YEAR(A679),Rates!$A$4:$A$15,0),ROUNDUP(MONTH(A679)/3,0))/100,0.03))</f>
        <v>0.07</v>
      </c>
      <c r="C679" s="25" t="n">
        <f aca="false">MAX(0,Penalty!$B$4-SUMIFS(Penalty!$C$10:$C$12,Penalty!$B$10:$B$12,"&lt;"&amp;A679))</f>
        <v>12000</v>
      </c>
      <c r="D679" s="25" t="n">
        <f aca="false">IF(A679&lt;=Penalty!$B$8,C679+F678+IF(A679&gt;Penalty!$B$19,Penalty!$I$5,0)+G678,0)</f>
        <v>0</v>
      </c>
      <c r="E679" s="26" t="n">
        <f aca="false">D679*B679/365</f>
        <v>0</v>
      </c>
      <c r="F679" s="25" t="n">
        <f aca="false">F678+E679*(1-IF(D679&gt;0,(IF(A679&gt;Penalty!$B$19,Penalty!$I$5,0)+G678)/D679,0))</f>
        <v>345.789278153858</v>
      </c>
      <c r="G679" s="25" t="n">
        <f aca="false">G678+E679*IF(D679&gt;0,(IF(A679&gt;Penalty!$B$19,Penalty!$I$5,0)+G678)/D679,0)</f>
        <v>46.6815525507708</v>
      </c>
    </row>
    <row r="680" customFormat="false" ht="15" hidden="false" customHeight="false" outlineLevel="0" collapsed="false">
      <c r="A680" s="23" t="n">
        <f aca="false">Penalty!$B$5+676</f>
        <v>46803</v>
      </c>
      <c r="B680" s="24" t="n">
        <f aca="false">IF(YEAR(A680)&gt;2026,Penalty!$B$16/100,IFERROR(INDEX(Rates!$B$4:$E$15,MATCH(YEAR(A680),Rates!$A$4:$A$15,0),ROUNDUP(MONTH(A680)/3,0))/100,0.03))</f>
        <v>0.07</v>
      </c>
      <c r="C680" s="25" t="n">
        <f aca="false">MAX(0,Penalty!$B$4-SUMIFS(Penalty!$C$10:$C$12,Penalty!$B$10:$B$12,"&lt;"&amp;A680))</f>
        <v>12000</v>
      </c>
      <c r="D680" s="25" t="n">
        <f aca="false">IF(A680&lt;=Penalty!$B$8,C680+F679+IF(A680&gt;Penalty!$B$19,Penalty!$I$5,0)+G679,0)</f>
        <v>0</v>
      </c>
      <c r="E680" s="26" t="n">
        <f aca="false">D680*B680/365</f>
        <v>0</v>
      </c>
      <c r="F680" s="25" t="n">
        <f aca="false">F679+E680*(1-IF(D680&gt;0,(IF(A680&gt;Penalty!$B$19,Penalty!$I$5,0)+G679)/D680,0))</f>
        <v>345.789278153858</v>
      </c>
      <c r="G680" s="25" t="n">
        <f aca="false">G679+E680*IF(D680&gt;0,(IF(A680&gt;Penalty!$B$19,Penalty!$I$5,0)+G679)/D680,0)</f>
        <v>46.6815525507708</v>
      </c>
    </row>
    <row r="681" customFormat="false" ht="15" hidden="false" customHeight="false" outlineLevel="0" collapsed="false">
      <c r="A681" s="23" t="n">
        <f aca="false">Penalty!$B$5+677</f>
        <v>46804</v>
      </c>
      <c r="B681" s="24" t="n">
        <f aca="false">IF(YEAR(A681)&gt;2026,Penalty!$B$16/100,IFERROR(INDEX(Rates!$B$4:$E$15,MATCH(YEAR(A681),Rates!$A$4:$A$15,0),ROUNDUP(MONTH(A681)/3,0))/100,0.03))</f>
        <v>0.07</v>
      </c>
      <c r="C681" s="25" t="n">
        <f aca="false">MAX(0,Penalty!$B$4-SUMIFS(Penalty!$C$10:$C$12,Penalty!$B$10:$B$12,"&lt;"&amp;A681))</f>
        <v>12000</v>
      </c>
      <c r="D681" s="25" t="n">
        <f aca="false">IF(A681&lt;=Penalty!$B$8,C681+F680+IF(A681&gt;Penalty!$B$19,Penalty!$I$5,0)+G680,0)</f>
        <v>0</v>
      </c>
      <c r="E681" s="26" t="n">
        <f aca="false">D681*B681/365</f>
        <v>0</v>
      </c>
      <c r="F681" s="25" t="n">
        <f aca="false">F680+E681*(1-IF(D681&gt;0,(IF(A681&gt;Penalty!$B$19,Penalty!$I$5,0)+G680)/D681,0))</f>
        <v>345.789278153858</v>
      </c>
      <c r="G681" s="25" t="n">
        <f aca="false">G680+E681*IF(D681&gt;0,(IF(A681&gt;Penalty!$B$19,Penalty!$I$5,0)+G680)/D681,0)</f>
        <v>46.6815525507708</v>
      </c>
    </row>
    <row r="682" customFormat="false" ht="15" hidden="false" customHeight="false" outlineLevel="0" collapsed="false">
      <c r="A682" s="23" t="n">
        <f aca="false">Penalty!$B$5+678</f>
        <v>46805</v>
      </c>
      <c r="B682" s="24" t="n">
        <f aca="false">IF(YEAR(A682)&gt;2026,Penalty!$B$16/100,IFERROR(INDEX(Rates!$B$4:$E$15,MATCH(YEAR(A682),Rates!$A$4:$A$15,0),ROUNDUP(MONTH(A682)/3,0))/100,0.03))</f>
        <v>0.07</v>
      </c>
      <c r="C682" s="25" t="n">
        <f aca="false">MAX(0,Penalty!$B$4-SUMIFS(Penalty!$C$10:$C$12,Penalty!$B$10:$B$12,"&lt;"&amp;A682))</f>
        <v>12000</v>
      </c>
      <c r="D682" s="25" t="n">
        <f aca="false">IF(A682&lt;=Penalty!$B$8,C682+F681+IF(A682&gt;Penalty!$B$19,Penalty!$I$5,0)+G681,0)</f>
        <v>0</v>
      </c>
      <c r="E682" s="26" t="n">
        <f aca="false">D682*B682/365</f>
        <v>0</v>
      </c>
      <c r="F682" s="25" t="n">
        <f aca="false">F681+E682*(1-IF(D682&gt;0,(IF(A682&gt;Penalty!$B$19,Penalty!$I$5,0)+G681)/D682,0))</f>
        <v>345.789278153858</v>
      </c>
      <c r="G682" s="25" t="n">
        <f aca="false">G681+E682*IF(D682&gt;0,(IF(A682&gt;Penalty!$B$19,Penalty!$I$5,0)+G681)/D682,0)</f>
        <v>46.6815525507708</v>
      </c>
    </row>
    <row r="683" customFormat="false" ht="15" hidden="false" customHeight="false" outlineLevel="0" collapsed="false">
      <c r="A683" s="23" t="n">
        <f aca="false">Penalty!$B$5+679</f>
        <v>46806</v>
      </c>
      <c r="B683" s="24" t="n">
        <f aca="false">IF(YEAR(A683)&gt;2026,Penalty!$B$16/100,IFERROR(INDEX(Rates!$B$4:$E$15,MATCH(YEAR(A683),Rates!$A$4:$A$15,0),ROUNDUP(MONTH(A683)/3,0))/100,0.03))</f>
        <v>0.07</v>
      </c>
      <c r="C683" s="25" t="n">
        <f aca="false">MAX(0,Penalty!$B$4-SUMIFS(Penalty!$C$10:$C$12,Penalty!$B$10:$B$12,"&lt;"&amp;A683))</f>
        <v>12000</v>
      </c>
      <c r="D683" s="25" t="n">
        <f aca="false">IF(A683&lt;=Penalty!$B$8,C683+F682+IF(A683&gt;Penalty!$B$19,Penalty!$I$5,0)+G682,0)</f>
        <v>0</v>
      </c>
      <c r="E683" s="26" t="n">
        <f aca="false">D683*B683/365</f>
        <v>0</v>
      </c>
      <c r="F683" s="25" t="n">
        <f aca="false">F682+E683*(1-IF(D683&gt;0,(IF(A683&gt;Penalty!$B$19,Penalty!$I$5,0)+G682)/D683,0))</f>
        <v>345.789278153858</v>
      </c>
      <c r="G683" s="25" t="n">
        <f aca="false">G682+E683*IF(D683&gt;0,(IF(A683&gt;Penalty!$B$19,Penalty!$I$5,0)+G682)/D683,0)</f>
        <v>46.6815525507708</v>
      </c>
    </row>
    <row r="684" customFormat="false" ht="15" hidden="false" customHeight="false" outlineLevel="0" collapsed="false">
      <c r="A684" s="23" t="n">
        <f aca="false">Penalty!$B$5+680</f>
        <v>46807</v>
      </c>
      <c r="B684" s="24" t="n">
        <f aca="false">IF(YEAR(A684)&gt;2026,Penalty!$B$16/100,IFERROR(INDEX(Rates!$B$4:$E$15,MATCH(YEAR(A684),Rates!$A$4:$A$15,0),ROUNDUP(MONTH(A684)/3,0))/100,0.03))</f>
        <v>0.07</v>
      </c>
      <c r="C684" s="25" t="n">
        <f aca="false">MAX(0,Penalty!$B$4-SUMIFS(Penalty!$C$10:$C$12,Penalty!$B$10:$B$12,"&lt;"&amp;A684))</f>
        <v>12000</v>
      </c>
      <c r="D684" s="25" t="n">
        <f aca="false">IF(A684&lt;=Penalty!$B$8,C684+F683+IF(A684&gt;Penalty!$B$19,Penalty!$I$5,0)+G683,0)</f>
        <v>0</v>
      </c>
      <c r="E684" s="26" t="n">
        <f aca="false">D684*B684/365</f>
        <v>0</v>
      </c>
      <c r="F684" s="25" t="n">
        <f aca="false">F683+E684*(1-IF(D684&gt;0,(IF(A684&gt;Penalty!$B$19,Penalty!$I$5,0)+G683)/D684,0))</f>
        <v>345.789278153858</v>
      </c>
      <c r="G684" s="25" t="n">
        <f aca="false">G683+E684*IF(D684&gt;0,(IF(A684&gt;Penalty!$B$19,Penalty!$I$5,0)+G683)/D684,0)</f>
        <v>46.6815525507708</v>
      </c>
    </row>
    <row r="685" customFormat="false" ht="15" hidden="false" customHeight="false" outlineLevel="0" collapsed="false">
      <c r="A685" s="23" t="n">
        <f aca="false">Penalty!$B$5+681</f>
        <v>46808</v>
      </c>
      <c r="B685" s="24" t="n">
        <f aca="false">IF(YEAR(A685)&gt;2026,Penalty!$B$16/100,IFERROR(INDEX(Rates!$B$4:$E$15,MATCH(YEAR(A685),Rates!$A$4:$A$15,0),ROUNDUP(MONTH(A685)/3,0))/100,0.03))</f>
        <v>0.07</v>
      </c>
      <c r="C685" s="25" t="n">
        <f aca="false">MAX(0,Penalty!$B$4-SUMIFS(Penalty!$C$10:$C$12,Penalty!$B$10:$B$12,"&lt;"&amp;A685))</f>
        <v>12000</v>
      </c>
      <c r="D685" s="25" t="n">
        <f aca="false">IF(A685&lt;=Penalty!$B$8,C685+F684+IF(A685&gt;Penalty!$B$19,Penalty!$I$5,0)+G684,0)</f>
        <v>0</v>
      </c>
      <c r="E685" s="26" t="n">
        <f aca="false">D685*B685/365</f>
        <v>0</v>
      </c>
      <c r="F685" s="25" t="n">
        <f aca="false">F684+E685*(1-IF(D685&gt;0,(IF(A685&gt;Penalty!$B$19,Penalty!$I$5,0)+G684)/D685,0))</f>
        <v>345.789278153858</v>
      </c>
      <c r="G685" s="25" t="n">
        <f aca="false">G684+E685*IF(D685&gt;0,(IF(A685&gt;Penalty!$B$19,Penalty!$I$5,0)+G684)/D685,0)</f>
        <v>46.6815525507708</v>
      </c>
    </row>
    <row r="686" customFormat="false" ht="15" hidden="false" customHeight="false" outlineLevel="0" collapsed="false">
      <c r="A686" s="23" t="n">
        <f aca="false">Penalty!$B$5+682</f>
        <v>46809</v>
      </c>
      <c r="B686" s="24" t="n">
        <f aca="false">IF(YEAR(A686)&gt;2026,Penalty!$B$16/100,IFERROR(INDEX(Rates!$B$4:$E$15,MATCH(YEAR(A686),Rates!$A$4:$A$15,0),ROUNDUP(MONTH(A686)/3,0))/100,0.03))</f>
        <v>0.07</v>
      </c>
      <c r="C686" s="25" t="n">
        <f aca="false">MAX(0,Penalty!$B$4-SUMIFS(Penalty!$C$10:$C$12,Penalty!$B$10:$B$12,"&lt;"&amp;A686))</f>
        <v>12000</v>
      </c>
      <c r="D686" s="25" t="n">
        <f aca="false">IF(A686&lt;=Penalty!$B$8,C686+F685+IF(A686&gt;Penalty!$B$19,Penalty!$I$5,0)+G685,0)</f>
        <v>0</v>
      </c>
      <c r="E686" s="26" t="n">
        <f aca="false">D686*B686/365</f>
        <v>0</v>
      </c>
      <c r="F686" s="25" t="n">
        <f aca="false">F685+E686*(1-IF(D686&gt;0,(IF(A686&gt;Penalty!$B$19,Penalty!$I$5,0)+G685)/D686,0))</f>
        <v>345.789278153858</v>
      </c>
      <c r="G686" s="25" t="n">
        <f aca="false">G685+E686*IF(D686&gt;0,(IF(A686&gt;Penalty!$B$19,Penalty!$I$5,0)+G685)/D686,0)</f>
        <v>46.6815525507708</v>
      </c>
    </row>
    <row r="687" customFormat="false" ht="15" hidden="false" customHeight="false" outlineLevel="0" collapsed="false">
      <c r="A687" s="23" t="n">
        <f aca="false">Penalty!$B$5+683</f>
        <v>46810</v>
      </c>
      <c r="B687" s="24" t="n">
        <f aca="false">IF(YEAR(A687)&gt;2026,Penalty!$B$16/100,IFERROR(INDEX(Rates!$B$4:$E$15,MATCH(YEAR(A687),Rates!$A$4:$A$15,0),ROUNDUP(MONTH(A687)/3,0))/100,0.03))</f>
        <v>0.07</v>
      </c>
      <c r="C687" s="25" t="n">
        <f aca="false">MAX(0,Penalty!$B$4-SUMIFS(Penalty!$C$10:$C$12,Penalty!$B$10:$B$12,"&lt;"&amp;A687))</f>
        <v>12000</v>
      </c>
      <c r="D687" s="25" t="n">
        <f aca="false">IF(A687&lt;=Penalty!$B$8,C687+F686+IF(A687&gt;Penalty!$B$19,Penalty!$I$5,0)+G686,0)</f>
        <v>0</v>
      </c>
      <c r="E687" s="26" t="n">
        <f aca="false">D687*B687/365</f>
        <v>0</v>
      </c>
      <c r="F687" s="25" t="n">
        <f aca="false">F686+E687*(1-IF(D687&gt;0,(IF(A687&gt;Penalty!$B$19,Penalty!$I$5,0)+G686)/D687,0))</f>
        <v>345.789278153858</v>
      </c>
      <c r="G687" s="25" t="n">
        <f aca="false">G686+E687*IF(D687&gt;0,(IF(A687&gt;Penalty!$B$19,Penalty!$I$5,0)+G686)/D687,0)</f>
        <v>46.6815525507708</v>
      </c>
    </row>
    <row r="688" customFormat="false" ht="15" hidden="false" customHeight="false" outlineLevel="0" collapsed="false">
      <c r="A688" s="23" t="n">
        <f aca="false">Penalty!$B$5+684</f>
        <v>46811</v>
      </c>
      <c r="B688" s="24" t="n">
        <f aca="false">IF(YEAR(A688)&gt;2026,Penalty!$B$16/100,IFERROR(INDEX(Rates!$B$4:$E$15,MATCH(YEAR(A688),Rates!$A$4:$A$15,0),ROUNDUP(MONTH(A688)/3,0))/100,0.03))</f>
        <v>0.07</v>
      </c>
      <c r="C688" s="25" t="n">
        <f aca="false">MAX(0,Penalty!$B$4-SUMIFS(Penalty!$C$10:$C$12,Penalty!$B$10:$B$12,"&lt;"&amp;A688))</f>
        <v>12000</v>
      </c>
      <c r="D688" s="25" t="n">
        <f aca="false">IF(A688&lt;=Penalty!$B$8,C688+F687+IF(A688&gt;Penalty!$B$19,Penalty!$I$5,0)+G687,0)</f>
        <v>0</v>
      </c>
      <c r="E688" s="26" t="n">
        <f aca="false">D688*B688/365</f>
        <v>0</v>
      </c>
      <c r="F688" s="25" t="n">
        <f aca="false">F687+E688*(1-IF(D688&gt;0,(IF(A688&gt;Penalty!$B$19,Penalty!$I$5,0)+G687)/D688,0))</f>
        <v>345.789278153858</v>
      </c>
      <c r="G688" s="25" t="n">
        <f aca="false">G687+E688*IF(D688&gt;0,(IF(A688&gt;Penalty!$B$19,Penalty!$I$5,0)+G687)/D688,0)</f>
        <v>46.6815525507708</v>
      </c>
    </row>
    <row r="689" customFormat="false" ht="15" hidden="false" customHeight="false" outlineLevel="0" collapsed="false">
      <c r="A689" s="23" t="n">
        <f aca="false">Penalty!$B$5+685</f>
        <v>46812</v>
      </c>
      <c r="B689" s="24" t="n">
        <f aca="false">IF(YEAR(A689)&gt;2026,Penalty!$B$16/100,IFERROR(INDEX(Rates!$B$4:$E$15,MATCH(YEAR(A689),Rates!$A$4:$A$15,0),ROUNDUP(MONTH(A689)/3,0))/100,0.03))</f>
        <v>0.07</v>
      </c>
      <c r="C689" s="25" t="n">
        <f aca="false">MAX(0,Penalty!$B$4-SUMIFS(Penalty!$C$10:$C$12,Penalty!$B$10:$B$12,"&lt;"&amp;A689))</f>
        <v>12000</v>
      </c>
      <c r="D689" s="25" t="n">
        <f aca="false">IF(A689&lt;=Penalty!$B$8,C689+F688+IF(A689&gt;Penalty!$B$19,Penalty!$I$5,0)+G688,0)</f>
        <v>0</v>
      </c>
      <c r="E689" s="26" t="n">
        <f aca="false">D689*B689/365</f>
        <v>0</v>
      </c>
      <c r="F689" s="25" t="n">
        <f aca="false">F688+E689*(1-IF(D689&gt;0,(IF(A689&gt;Penalty!$B$19,Penalty!$I$5,0)+G688)/D689,0))</f>
        <v>345.789278153858</v>
      </c>
      <c r="G689" s="25" t="n">
        <f aca="false">G688+E689*IF(D689&gt;0,(IF(A689&gt;Penalty!$B$19,Penalty!$I$5,0)+G688)/D689,0)</f>
        <v>46.6815525507708</v>
      </c>
    </row>
    <row r="690" customFormat="false" ht="15" hidden="false" customHeight="false" outlineLevel="0" collapsed="false">
      <c r="A690" s="23" t="n">
        <f aca="false">Penalty!$B$5+686</f>
        <v>46813</v>
      </c>
      <c r="B690" s="24" t="n">
        <f aca="false">IF(YEAR(A690)&gt;2026,Penalty!$B$16/100,IFERROR(INDEX(Rates!$B$4:$E$15,MATCH(YEAR(A690),Rates!$A$4:$A$15,0),ROUNDUP(MONTH(A690)/3,0))/100,0.03))</f>
        <v>0.07</v>
      </c>
      <c r="C690" s="25" t="n">
        <f aca="false">MAX(0,Penalty!$B$4-SUMIFS(Penalty!$C$10:$C$12,Penalty!$B$10:$B$12,"&lt;"&amp;A690))</f>
        <v>12000</v>
      </c>
      <c r="D690" s="25" t="n">
        <f aca="false">IF(A690&lt;=Penalty!$B$8,C690+F689+IF(A690&gt;Penalty!$B$19,Penalty!$I$5,0)+G689,0)</f>
        <v>0</v>
      </c>
      <c r="E690" s="26" t="n">
        <f aca="false">D690*B690/365</f>
        <v>0</v>
      </c>
      <c r="F690" s="25" t="n">
        <f aca="false">F689+E690*(1-IF(D690&gt;0,(IF(A690&gt;Penalty!$B$19,Penalty!$I$5,0)+G689)/D690,0))</f>
        <v>345.789278153858</v>
      </c>
      <c r="G690" s="25" t="n">
        <f aca="false">G689+E690*IF(D690&gt;0,(IF(A690&gt;Penalty!$B$19,Penalty!$I$5,0)+G689)/D690,0)</f>
        <v>46.6815525507708</v>
      </c>
    </row>
    <row r="691" customFormat="false" ht="15" hidden="false" customHeight="false" outlineLevel="0" collapsed="false">
      <c r="A691" s="23" t="n">
        <f aca="false">Penalty!$B$5+687</f>
        <v>46814</v>
      </c>
      <c r="B691" s="24" t="n">
        <f aca="false">IF(YEAR(A691)&gt;2026,Penalty!$B$16/100,IFERROR(INDEX(Rates!$B$4:$E$15,MATCH(YEAR(A691),Rates!$A$4:$A$15,0),ROUNDUP(MONTH(A691)/3,0))/100,0.03))</f>
        <v>0.07</v>
      </c>
      <c r="C691" s="25" t="n">
        <f aca="false">MAX(0,Penalty!$B$4-SUMIFS(Penalty!$C$10:$C$12,Penalty!$B$10:$B$12,"&lt;"&amp;A691))</f>
        <v>12000</v>
      </c>
      <c r="D691" s="25" t="n">
        <f aca="false">IF(A691&lt;=Penalty!$B$8,C691+F690+IF(A691&gt;Penalty!$B$19,Penalty!$I$5,0)+G690,0)</f>
        <v>0</v>
      </c>
      <c r="E691" s="26" t="n">
        <f aca="false">D691*B691/365</f>
        <v>0</v>
      </c>
      <c r="F691" s="25" t="n">
        <f aca="false">F690+E691*(1-IF(D691&gt;0,(IF(A691&gt;Penalty!$B$19,Penalty!$I$5,0)+G690)/D691,0))</f>
        <v>345.789278153858</v>
      </c>
      <c r="G691" s="25" t="n">
        <f aca="false">G690+E691*IF(D691&gt;0,(IF(A691&gt;Penalty!$B$19,Penalty!$I$5,0)+G690)/D691,0)</f>
        <v>46.6815525507708</v>
      </c>
    </row>
    <row r="692" customFormat="false" ht="15" hidden="false" customHeight="false" outlineLevel="0" collapsed="false">
      <c r="A692" s="23" t="n">
        <f aca="false">Penalty!$B$5+688</f>
        <v>46815</v>
      </c>
      <c r="B692" s="24" t="n">
        <f aca="false">IF(YEAR(A692)&gt;2026,Penalty!$B$16/100,IFERROR(INDEX(Rates!$B$4:$E$15,MATCH(YEAR(A692),Rates!$A$4:$A$15,0),ROUNDUP(MONTH(A692)/3,0))/100,0.03))</f>
        <v>0.07</v>
      </c>
      <c r="C692" s="25" t="n">
        <f aca="false">MAX(0,Penalty!$B$4-SUMIFS(Penalty!$C$10:$C$12,Penalty!$B$10:$B$12,"&lt;"&amp;A692))</f>
        <v>12000</v>
      </c>
      <c r="D692" s="25" t="n">
        <f aca="false">IF(A692&lt;=Penalty!$B$8,C692+F691+IF(A692&gt;Penalty!$B$19,Penalty!$I$5,0)+G691,0)</f>
        <v>0</v>
      </c>
      <c r="E692" s="26" t="n">
        <f aca="false">D692*B692/365</f>
        <v>0</v>
      </c>
      <c r="F692" s="25" t="n">
        <f aca="false">F691+E692*(1-IF(D692&gt;0,(IF(A692&gt;Penalty!$B$19,Penalty!$I$5,0)+G691)/D692,0))</f>
        <v>345.789278153858</v>
      </c>
      <c r="G692" s="25" t="n">
        <f aca="false">G691+E692*IF(D692&gt;0,(IF(A692&gt;Penalty!$B$19,Penalty!$I$5,0)+G691)/D692,0)</f>
        <v>46.6815525507708</v>
      </c>
    </row>
    <row r="693" customFormat="false" ht="15" hidden="false" customHeight="false" outlineLevel="0" collapsed="false">
      <c r="A693" s="23" t="n">
        <f aca="false">Penalty!$B$5+689</f>
        <v>46816</v>
      </c>
      <c r="B693" s="24" t="n">
        <f aca="false">IF(YEAR(A693)&gt;2026,Penalty!$B$16/100,IFERROR(INDEX(Rates!$B$4:$E$15,MATCH(YEAR(A693),Rates!$A$4:$A$15,0),ROUNDUP(MONTH(A693)/3,0))/100,0.03))</f>
        <v>0.07</v>
      </c>
      <c r="C693" s="25" t="n">
        <f aca="false">MAX(0,Penalty!$B$4-SUMIFS(Penalty!$C$10:$C$12,Penalty!$B$10:$B$12,"&lt;"&amp;A693))</f>
        <v>12000</v>
      </c>
      <c r="D693" s="25" t="n">
        <f aca="false">IF(A693&lt;=Penalty!$B$8,C693+F692+IF(A693&gt;Penalty!$B$19,Penalty!$I$5,0)+G692,0)</f>
        <v>0</v>
      </c>
      <c r="E693" s="26" t="n">
        <f aca="false">D693*B693/365</f>
        <v>0</v>
      </c>
      <c r="F693" s="25" t="n">
        <f aca="false">F692+E693*(1-IF(D693&gt;0,(IF(A693&gt;Penalty!$B$19,Penalty!$I$5,0)+G692)/D693,0))</f>
        <v>345.789278153858</v>
      </c>
      <c r="G693" s="25" t="n">
        <f aca="false">G692+E693*IF(D693&gt;0,(IF(A693&gt;Penalty!$B$19,Penalty!$I$5,0)+G692)/D693,0)</f>
        <v>46.6815525507708</v>
      </c>
    </row>
    <row r="694" customFormat="false" ht="15" hidden="false" customHeight="false" outlineLevel="0" collapsed="false">
      <c r="A694" s="23" t="n">
        <f aca="false">Penalty!$B$5+690</f>
        <v>46817</v>
      </c>
      <c r="B694" s="24" t="n">
        <f aca="false">IF(YEAR(A694)&gt;2026,Penalty!$B$16/100,IFERROR(INDEX(Rates!$B$4:$E$15,MATCH(YEAR(A694),Rates!$A$4:$A$15,0),ROUNDUP(MONTH(A694)/3,0))/100,0.03))</f>
        <v>0.07</v>
      </c>
      <c r="C694" s="25" t="n">
        <f aca="false">MAX(0,Penalty!$B$4-SUMIFS(Penalty!$C$10:$C$12,Penalty!$B$10:$B$12,"&lt;"&amp;A694))</f>
        <v>12000</v>
      </c>
      <c r="D694" s="25" t="n">
        <f aca="false">IF(A694&lt;=Penalty!$B$8,C694+F693+IF(A694&gt;Penalty!$B$19,Penalty!$I$5,0)+G693,0)</f>
        <v>0</v>
      </c>
      <c r="E694" s="26" t="n">
        <f aca="false">D694*B694/365</f>
        <v>0</v>
      </c>
      <c r="F694" s="25" t="n">
        <f aca="false">F693+E694*(1-IF(D694&gt;0,(IF(A694&gt;Penalty!$B$19,Penalty!$I$5,0)+G693)/D694,0))</f>
        <v>345.789278153858</v>
      </c>
      <c r="G694" s="25" t="n">
        <f aca="false">G693+E694*IF(D694&gt;0,(IF(A694&gt;Penalty!$B$19,Penalty!$I$5,0)+G693)/D694,0)</f>
        <v>46.6815525507708</v>
      </c>
    </row>
    <row r="695" customFormat="false" ht="15" hidden="false" customHeight="false" outlineLevel="0" collapsed="false">
      <c r="A695" s="23" t="n">
        <f aca="false">Penalty!$B$5+691</f>
        <v>46818</v>
      </c>
      <c r="B695" s="24" t="n">
        <f aca="false">IF(YEAR(A695)&gt;2026,Penalty!$B$16/100,IFERROR(INDEX(Rates!$B$4:$E$15,MATCH(YEAR(A695),Rates!$A$4:$A$15,0),ROUNDUP(MONTH(A695)/3,0))/100,0.03))</f>
        <v>0.07</v>
      </c>
      <c r="C695" s="25" t="n">
        <f aca="false">MAX(0,Penalty!$B$4-SUMIFS(Penalty!$C$10:$C$12,Penalty!$B$10:$B$12,"&lt;"&amp;A695))</f>
        <v>12000</v>
      </c>
      <c r="D695" s="25" t="n">
        <f aca="false">IF(A695&lt;=Penalty!$B$8,C695+F694+IF(A695&gt;Penalty!$B$19,Penalty!$I$5,0)+G694,0)</f>
        <v>0</v>
      </c>
      <c r="E695" s="26" t="n">
        <f aca="false">D695*B695/365</f>
        <v>0</v>
      </c>
      <c r="F695" s="25" t="n">
        <f aca="false">F694+E695*(1-IF(D695&gt;0,(IF(A695&gt;Penalty!$B$19,Penalty!$I$5,0)+G694)/D695,0))</f>
        <v>345.789278153858</v>
      </c>
      <c r="G695" s="25" t="n">
        <f aca="false">G694+E695*IF(D695&gt;0,(IF(A695&gt;Penalty!$B$19,Penalty!$I$5,0)+G694)/D695,0)</f>
        <v>46.6815525507708</v>
      </c>
    </row>
    <row r="696" customFormat="false" ht="15" hidden="false" customHeight="false" outlineLevel="0" collapsed="false">
      <c r="A696" s="23" t="n">
        <f aca="false">Penalty!$B$5+692</f>
        <v>46819</v>
      </c>
      <c r="B696" s="24" t="n">
        <f aca="false">IF(YEAR(A696)&gt;2026,Penalty!$B$16/100,IFERROR(INDEX(Rates!$B$4:$E$15,MATCH(YEAR(A696),Rates!$A$4:$A$15,0),ROUNDUP(MONTH(A696)/3,0))/100,0.03))</f>
        <v>0.07</v>
      </c>
      <c r="C696" s="25" t="n">
        <f aca="false">MAX(0,Penalty!$B$4-SUMIFS(Penalty!$C$10:$C$12,Penalty!$B$10:$B$12,"&lt;"&amp;A696))</f>
        <v>12000</v>
      </c>
      <c r="D696" s="25" t="n">
        <f aca="false">IF(A696&lt;=Penalty!$B$8,C696+F695+IF(A696&gt;Penalty!$B$19,Penalty!$I$5,0)+G695,0)</f>
        <v>0</v>
      </c>
      <c r="E696" s="26" t="n">
        <f aca="false">D696*B696/365</f>
        <v>0</v>
      </c>
      <c r="F696" s="25" t="n">
        <f aca="false">F695+E696*(1-IF(D696&gt;0,(IF(A696&gt;Penalty!$B$19,Penalty!$I$5,0)+G695)/D696,0))</f>
        <v>345.789278153858</v>
      </c>
      <c r="G696" s="25" t="n">
        <f aca="false">G695+E696*IF(D696&gt;0,(IF(A696&gt;Penalty!$B$19,Penalty!$I$5,0)+G695)/D696,0)</f>
        <v>46.6815525507708</v>
      </c>
    </row>
    <row r="697" customFormat="false" ht="15" hidden="false" customHeight="false" outlineLevel="0" collapsed="false">
      <c r="A697" s="23" t="n">
        <f aca="false">Penalty!$B$5+693</f>
        <v>46820</v>
      </c>
      <c r="B697" s="24" t="n">
        <f aca="false">IF(YEAR(A697)&gt;2026,Penalty!$B$16/100,IFERROR(INDEX(Rates!$B$4:$E$15,MATCH(YEAR(A697),Rates!$A$4:$A$15,0),ROUNDUP(MONTH(A697)/3,0))/100,0.03))</f>
        <v>0.07</v>
      </c>
      <c r="C697" s="25" t="n">
        <f aca="false">MAX(0,Penalty!$B$4-SUMIFS(Penalty!$C$10:$C$12,Penalty!$B$10:$B$12,"&lt;"&amp;A697))</f>
        <v>12000</v>
      </c>
      <c r="D697" s="25" t="n">
        <f aca="false">IF(A697&lt;=Penalty!$B$8,C697+F696+IF(A697&gt;Penalty!$B$19,Penalty!$I$5,0)+G696,0)</f>
        <v>0</v>
      </c>
      <c r="E697" s="26" t="n">
        <f aca="false">D697*B697/365</f>
        <v>0</v>
      </c>
      <c r="F697" s="25" t="n">
        <f aca="false">F696+E697*(1-IF(D697&gt;0,(IF(A697&gt;Penalty!$B$19,Penalty!$I$5,0)+G696)/D697,0))</f>
        <v>345.789278153858</v>
      </c>
      <c r="G697" s="25" t="n">
        <f aca="false">G696+E697*IF(D697&gt;0,(IF(A697&gt;Penalty!$B$19,Penalty!$I$5,0)+G696)/D697,0)</f>
        <v>46.6815525507708</v>
      </c>
    </row>
    <row r="698" customFormat="false" ht="15" hidden="false" customHeight="false" outlineLevel="0" collapsed="false">
      <c r="A698" s="23" t="n">
        <f aca="false">Penalty!$B$5+694</f>
        <v>46821</v>
      </c>
      <c r="B698" s="24" t="n">
        <f aca="false">IF(YEAR(A698)&gt;2026,Penalty!$B$16/100,IFERROR(INDEX(Rates!$B$4:$E$15,MATCH(YEAR(A698),Rates!$A$4:$A$15,0),ROUNDUP(MONTH(A698)/3,0))/100,0.03))</f>
        <v>0.07</v>
      </c>
      <c r="C698" s="25" t="n">
        <f aca="false">MAX(0,Penalty!$B$4-SUMIFS(Penalty!$C$10:$C$12,Penalty!$B$10:$B$12,"&lt;"&amp;A698))</f>
        <v>12000</v>
      </c>
      <c r="D698" s="25" t="n">
        <f aca="false">IF(A698&lt;=Penalty!$B$8,C698+F697+IF(A698&gt;Penalty!$B$19,Penalty!$I$5,0)+G697,0)</f>
        <v>0</v>
      </c>
      <c r="E698" s="26" t="n">
        <f aca="false">D698*B698/365</f>
        <v>0</v>
      </c>
      <c r="F698" s="25" t="n">
        <f aca="false">F697+E698*(1-IF(D698&gt;0,(IF(A698&gt;Penalty!$B$19,Penalty!$I$5,0)+G697)/D698,0))</f>
        <v>345.789278153858</v>
      </c>
      <c r="G698" s="25" t="n">
        <f aca="false">G697+E698*IF(D698&gt;0,(IF(A698&gt;Penalty!$B$19,Penalty!$I$5,0)+G697)/D698,0)</f>
        <v>46.6815525507708</v>
      </c>
    </row>
    <row r="699" customFormat="false" ht="15" hidden="false" customHeight="false" outlineLevel="0" collapsed="false">
      <c r="A699" s="23" t="n">
        <f aca="false">Penalty!$B$5+695</f>
        <v>46822</v>
      </c>
      <c r="B699" s="24" t="n">
        <f aca="false">IF(YEAR(A699)&gt;2026,Penalty!$B$16/100,IFERROR(INDEX(Rates!$B$4:$E$15,MATCH(YEAR(A699),Rates!$A$4:$A$15,0),ROUNDUP(MONTH(A699)/3,0))/100,0.03))</f>
        <v>0.07</v>
      </c>
      <c r="C699" s="25" t="n">
        <f aca="false">MAX(0,Penalty!$B$4-SUMIFS(Penalty!$C$10:$C$12,Penalty!$B$10:$B$12,"&lt;"&amp;A699))</f>
        <v>12000</v>
      </c>
      <c r="D699" s="25" t="n">
        <f aca="false">IF(A699&lt;=Penalty!$B$8,C699+F698+IF(A699&gt;Penalty!$B$19,Penalty!$I$5,0)+G698,0)</f>
        <v>0</v>
      </c>
      <c r="E699" s="26" t="n">
        <f aca="false">D699*B699/365</f>
        <v>0</v>
      </c>
      <c r="F699" s="25" t="n">
        <f aca="false">F698+E699*(1-IF(D699&gt;0,(IF(A699&gt;Penalty!$B$19,Penalty!$I$5,0)+G698)/D699,0))</f>
        <v>345.789278153858</v>
      </c>
      <c r="G699" s="25" t="n">
        <f aca="false">G698+E699*IF(D699&gt;0,(IF(A699&gt;Penalty!$B$19,Penalty!$I$5,0)+G698)/D699,0)</f>
        <v>46.6815525507708</v>
      </c>
    </row>
    <row r="700" customFormat="false" ht="15" hidden="false" customHeight="false" outlineLevel="0" collapsed="false">
      <c r="A700" s="23" t="n">
        <f aca="false">Penalty!$B$5+696</f>
        <v>46823</v>
      </c>
      <c r="B700" s="24" t="n">
        <f aca="false">IF(YEAR(A700)&gt;2026,Penalty!$B$16/100,IFERROR(INDEX(Rates!$B$4:$E$15,MATCH(YEAR(A700),Rates!$A$4:$A$15,0),ROUNDUP(MONTH(A700)/3,0))/100,0.03))</f>
        <v>0.07</v>
      </c>
      <c r="C700" s="25" t="n">
        <f aca="false">MAX(0,Penalty!$B$4-SUMIFS(Penalty!$C$10:$C$12,Penalty!$B$10:$B$12,"&lt;"&amp;A700))</f>
        <v>12000</v>
      </c>
      <c r="D700" s="25" t="n">
        <f aca="false">IF(A700&lt;=Penalty!$B$8,C700+F699+IF(A700&gt;Penalty!$B$19,Penalty!$I$5,0)+G699,0)</f>
        <v>0</v>
      </c>
      <c r="E700" s="26" t="n">
        <f aca="false">D700*B700/365</f>
        <v>0</v>
      </c>
      <c r="F700" s="25" t="n">
        <f aca="false">F699+E700*(1-IF(D700&gt;0,(IF(A700&gt;Penalty!$B$19,Penalty!$I$5,0)+G699)/D700,0))</f>
        <v>345.789278153858</v>
      </c>
      <c r="G700" s="25" t="n">
        <f aca="false">G699+E700*IF(D700&gt;0,(IF(A700&gt;Penalty!$B$19,Penalty!$I$5,0)+G699)/D700,0)</f>
        <v>46.6815525507708</v>
      </c>
    </row>
    <row r="701" customFormat="false" ht="15" hidden="false" customHeight="false" outlineLevel="0" collapsed="false">
      <c r="A701" s="23" t="n">
        <f aca="false">Penalty!$B$5+697</f>
        <v>46824</v>
      </c>
      <c r="B701" s="24" t="n">
        <f aca="false">IF(YEAR(A701)&gt;2026,Penalty!$B$16/100,IFERROR(INDEX(Rates!$B$4:$E$15,MATCH(YEAR(A701),Rates!$A$4:$A$15,0),ROUNDUP(MONTH(A701)/3,0))/100,0.03))</f>
        <v>0.07</v>
      </c>
      <c r="C701" s="25" t="n">
        <f aca="false">MAX(0,Penalty!$B$4-SUMIFS(Penalty!$C$10:$C$12,Penalty!$B$10:$B$12,"&lt;"&amp;A701))</f>
        <v>12000</v>
      </c>
      <c r="D701" s="25" t="n">
        <f aca="false">IF(A701&lt;=Penalty!$B$8,C701+F700+IF(A701&gt;Penalty!$B$19,Penalty!$I$5,0)+G700,0)</f>
        <v>0</v>
      </c>
      <c r="E701" s="26" t="n">
        <f aca="false">D701*B701/365</f>
        <v>0</v>
      </c>
      <c r="F701" s="25" t="n">
        <f aca="false">F700+E701*(1-IF(D701&gt;0,(IF(A701&gt;Penalty!$B$19,Penalty!$I$5,0)+G700)/D701,0))</f>
        <v>345.789278153858</v>
      </c>
      <c r="G701" s="25" t="n">
        <f aca="false">G700+E701*IF(D701&gt;0,(IF(A701&gt;Penalty!$B$19,Penalty!$I$5,0)+G700)/D701,0)</f>
        <v>46.6815525507708</v>
      </c>
    </row>
    <row r="702" customFormat="false" ht="15" hidden="false" customHeight="false" outlineLevel="0" collapsed="false">
      <c r="A702" s="23" t="n">
        <f aca="false">Penalty!$B$5+698</f>
        <v>46825</v>
      </c>
      <c r="B702" s="24" t="n">
        <f aca="false">IF(YEAR(A702)&gt;2026,Penalty!$B$16/100,IFERROR(INDEX(Rates!$B$4:$E$15,MATCH(YEAR(A702),Rates!$A$4:$A$15,0),ROUNDUP(MONTH(A702)/3,0))/100,0.03))</f>
        <v>0.07</v>
      </c>
      <c r="C702" s="25" t="n">
        <f aca="false">MAX(0,Penalty!$B$4-SUMIFS(Penalty!$C$10:$C$12,Penalty!$B$10:$B$12,"&lt;"&amp;A702))</f>
        <v>12000</v>
      </c>
      <c r="D702" s="25" t="n">
        <f aca="false">IF(A702&lt;=Penalty!$B$8,C702+F701+IF(A702&gt;Penalty!$B$19,Penalty!$I$5,0)+G701,0)</f>
        <v>0</v>
      </c>
      <c r="E702" s="26" t="n">
        <f aca="false">D702*B702/365</f>
        <v>0</v>
      </c>
      <c r="F702" s="25" t="n">
        <f aca="false">F701+E702*(1-IF(D702&gt;0,(IF(A702&gt;Penalty!$B$19,Penalty!$I$5,0)+G701)/D702,0))</f>
        <v>345.789278153858</v>
      </c>
      <c r="G702" s="25" t="n">
        <f aca="false">G701+E702*IF(D702&gt;0,(IF(A702&gt;Penalty!$B$19,Penalty!$I$5,0)+G701)/D702,0)</f>
        <v>46.6815525507708</v>
      </c>
    </row>
    <row r="703" customFormat="false" ht="15" hidden="false" customHeight="false" outlineLevel="0" collapsed="false">
      <c r="A703" s="23" t="n">
        <f aca="false">Penalty!$B$5+699</f>
        <v>46826</v>
      </c>
      <c r="B703" s="24" t="n">
        <f aca="false">IF(YEAR(A703)&gt;2026,Penalty!$B$16/100,IFERROR(INDEX(Rates!$B$4:$E$15,MATCH(YEAR(A703),Rates!$A$4:$A$15,0),ROUNDUP(MONTH(A703)/3,0))/100,0.03))</f>
        <v>0.07</v>
      </c>
      <c r="C703" s="25" t="n">
        <f aca="false">MAX(0,Penalty!$B$4-SUMIFS(Penalty!$C$10:$C$12,Penalty!$B$10:$B$12,"&lt;"&amp;A703))</f>
        <v>12000</v>
      </c>
      <c r="D703" s="25" t="n">
        <f aca="false">IF(A703&lt;=Penalty!$B$8,C703+F702+IF(A703&gt;Penalty!$B$19,Penalty!$I$5,0)+G702,0)</f>
        <v>0</v>
      </c>
      <c r="E703" s="26" t="n">
        <f aca="false">D703*B703/365</f>
        <v>0</v>
      </c>
      <c r="F703" s="25" t="n">
        <f aca="false">F702+E703*(1-IF(D703&gt;0,(IF(A703&gt;Penalty!$B$19,Penalty!$I$5,0)+G702)/D703,0))</f>
        <v>345.789278153858</v>
      </c>
      <c r="G703" s="25" t="n">
        <f aca="false">G702+E703*IF(D703&gt;0,(IF(A703&gt;Penalty!$B$19,Penalty!$I$5,0)+G702)/D703,0)</f>
        <v>46.6815525507708</v>
      </c>
    </row>
    <row r="704" customFormat="false" ht="15" hidden="false" customHeight="false" outlineLevel="0" collapsed="false">
      <c r="A704" s="23" t="n">
        <f aca="false">Penalty!$B$5+700</f>
        <v>46827</v>
      </c>
      <c r="B704" s="24" t="n">
        <f aca="false">IF(YEAR(A704)&gt;2026,Penalty!$B$16/100,IFERROR(INDEX(Rates!$B$4:$E$15,MATCH(YEAR(A704),Rates!$A$4:$A$15,0),ROUNDUP(MONTH(A704)/3,0))/100,0.03))</f>
        <v>0.07</v>
      </c>
      <c r="C704" s="25" t="n">
        <f aca="false">MAX(0,Penalty!$B$4-SUMIFS(Penalty!$C$10:$C$12,Penalty!$B$10:$B$12,"&lt;"&amp;A704))</f>
        <v>12000</v>
      </c>
      <c r="D704" s="25" t="n">
        <f aca="false">IF(A704&lt;=Penalty!$B$8,C704+F703+IF(A704&gt;Penalty!$B$19,Penalty!$I$5,0)+G703,0)</f>
        <v>0</v>
      </c>
      <c r="E704" s="26" t="n">
        <f aca="false">D704*B704/365</f>
        <v>0</v>
      </c>
      <c r="F704" s="25" t="n">
        <f aca="false">F703+E704*(1-IF(D704&gt;0,(IF(A704&gt;Penalty!$B$19,Penalty!$I$5,0)+G703)/D704,0))</f>
        <v>345.789278153858</v>
      </c>
      <c r="G704" s="25" t="n">
        <f aca="false">G703+E704*IF(D704&gt;0,(IF(A704&gt;Penalty!$B$19,Penalty!$I$5,0)+G703)/D704,0)</f>
        <v>46.6815525507708</v>
      </c>
    </row>
    <row r="705" customFormat="false" ht="15" hidden="false" customHeight="false" outlineLevel="0" collapsed="false">
      <c r="A705" s="23" t="n">
        <f aca="false">Penalty!$B$5+701</f>
        <v>46828</v>
      </c>
      <c r="B705" s="24" t="n">
        <f aca="false">IF(YEAR(A705)&gt;2026,Penalty!$B$16/100,IFERROR(INDEX(Rates!$B$4:$E$15,MATCH(YEAR(A705),Rates!$A$4:$A$15,0),ROUNDUP(MONTH(A705)/3,0))/100,0.03))</f>
        <v>0.07</v>
      </c>
      <c r="C705" s="25" t="n">
        <f aca="false">MAX(0,Penalty!$B$4-SUMIFS(Penalty!$C$10:$C$12,Penalty!$B$10:$B$12,"&lt;"&amp;A705))</f>
        <v>12000</v>
      </c>
      <c r="D705" s="25" t="n">
        <f aca="false">IF(A705&lt;=Penalty!$B$8,C705+F704+IF(A705&gt;Penalty!$B$19,Penalty!$I$5,0)+G704,0)</f>
        <v>0</v>
      </c>
      <c r="E705" s="26" t="n">
        <f aca="false">D705*B705/365</f>
        <v>0</v>
      </c>
      <c r="F705" s="25" t="n">
        <f aca="false">F704+E705*(1-IF(D705&gt;0,(IF(A705&gt;Penalty!$B$19,Penalty!$I$5,0)+G704)/D705,0))</f>
        <v>345.789278153858</v>
      </c>
      <c r="G705" s="25" t="n">
        <f aca="false">G704+E705*IF(D705&gt;0,(IF(A705&gt;Penalty!$B$19,Penalty!$I$5,0)+G704)/D705,0)</f>
        <v>46.6815525507708</v>
      </c>
    </row>
    <row r="706" customFormat="false" ht="15" hidden="false" customHeight="false" outlineLevel="0" collapsed="false">
      <c r="A706" s="23" t="n">
        <f aca="false">Penalty!$B$5+702</f>
        <v>46829</v>
      </c>
      <c r="B706" s="24" t="n">
        <f aca="false">IF(YEAR(A706)&gt;2026,Penalty!$B$16/100,IFERROR(INDEX(Rates!$B$4:$E$15,MATCH(YEAR(A706),Rates!$A$4:$A$15,0),ROUNDUP(MONTH(A706)/3,0))/100,0.03))</f>
        <v>0.07</v>
      </c>
      <c r="C706" s="25" t="n">
        <f aca="false">MAX(0,Penalty!$B$4-SUMIFS(Penalty!$C$10:$C$12,Penalty!$B$10:$B$12,"&lt;"&amp;A706))</f>
        <v>12000</v>
      </c>
      <c r="D706" s="25" t="n">
        <f aca="false">IF(A706&lt;=Penalty!$B$8,C706+F705+IF(A706&gt;Penalty!$B$19,Penalty!$I$5,0)+G705,0)</f>
        <v>0</v>
      </c>
      <c r="E706" s="26" t="n">
        <f aca="false">D706*B706/365</f>
        <v>0</v>
      </c>
      <c r="F706" s="25" t="n">
        <f aca="false">F705+E706*(1-IF(D706&gt;0,(IF(A706&gt;Penalty!$B$19,Penalty!$I$5,0)+G705)/D706,0))</f>
        <v>345.789278153858</v>
      </c>
      <c r="G706" s="25" t="n">
        <f aca="false">G705+E706*IF(D706&gt;0,(IF(A706&gt;Penalty!$B$19,Penalty!$I$5,0)+G705)/D706,0)</f>
        <v>46.6815525507708</v>
      </c>
    </row>
    <row r="707" customFormat="false" ht="15" hidden="false" customHeight="false" outlineLevel="0" collapsed="false">
      <c r="A707" s="23" t="n">
        <f aca="false">Penalty!$B$5+703</f>
        <v>46830</v>
      </c>
      <c r="B707" s="24" t="n">
        <f aca="false">IF(YEAR(A707)&gt;2026,Penalty!$B$16/100,IFERROR(INDEX(Rates!$B$4:$E$15,MATCH(YEAR(A707),Rates!$A$4:$A$15,0),ROUNDUP(MONTH(A707)/3,0))/100,0.03))</f>
        <v>0.07</v>
      </c>
      <c r="C707" s="25" t="n">
        <f aca="false">MAX(0,Penalty!$B$4-SUMIFS(Penalty!$C$10:$C$12,Penalty!$B$10:$B$12,"&lt;"&amp;A707))</f>
        <v>12000</v>
      </c>
      <c r="D707" s="25" t="n">
        <f aca="false">IF(A707&lt;=Penalty!$B$8,C707+F706+IF(A707&gt;Penalty!$B$19,Penalty!$I$5,0)+G706,0)</f>
        <v>0</v>
      </c>
      <c r="E707" s="26" t="n">
        <f aca="false">D707*B707/365</f>
        <v>0</v>
      </c>
      <c r="F707" s="25" t="n">
        <f aca="false">F706+E707*(1-IF(D707&gt;0,(IF(A707&gt;Penalty!$B$19,Penalty!$I$5,0)+G706)/D707,0))</f>
        <v>345.789278153858</v>
      </c>
      <c r="G707" s="25" t="n">
        <f aca="false">G706+E707*IF(D707&gt;0,(IF(A707&gt;Penalty!$B$19,Penalty!$I$5,0)+G706)/D707,0)</f>
        <v>46.6815525507708</v>
      </c>
    </row>
    <row r="708" customFormat="false" ht="15" hidden="false" customHeight="false" outlineLevel="0" collapsed="false">
      <c r="A708" s="23" t="n">
        <f aca="false">Penalty!$B$5+704</f>
        <v>46831</v>
      </c>
      <c r="B708" s="24" t="n">
        <f aca="false">IF(YEAR(A708)&gt;2026,Penalty!$B$16/100,IFERROR(INDEX(Rates!$B$4:$E$15,MATCH(YEAR(A708),Rates!$A$4:$A$15,0),ROUNDUP(MONTH(A708)/3,0))/100,0.03))</f>
        <v>0.07</v>
      </c>
      <c r="C708" s="25" t="n">
        <f aca="false">MAX(0,Penalty!$B$4-SUMIFS(Penalty!$C$10:$C$12,Penalty!$B$10:$B$12,"&lt;"&amp;A708))</f>
        <v>12000</v>
      </c>
      <c r="D708" s="25" t="n">
        <f aca="false">IF(A708&lt;=Penalty!$B$8,C708+F707+IF(A708&gt;Penalty!$B$19,Penalty!$I$5,0)+G707,0)</f>
        <v>0</v>
      </c>
      <c r="E708" s="26" t="n">
        <f aca="false">D708*B708/365</f>
        <v>0</v>
      </c>
      <c r="F708" s="25" t="n">
        <f aca="false">F707+E708*(1-IF(D708&gt;0,(IF(A708&gt;Penalty!$B$19,Penalty!$I$5,0)+G707)/D708,0))</f>
        <v>345.789278153858</v>
      </c>
      <c r="G708" s="25" t="n">
        <f aca="false">G707+E708*IF(D708&gt;0,(IF(A708&gt;Penalty!$B$19,Penalty!$I$5,0)+G707)/D708,0)</f>
        <v>46.6815525507708</v>
      </c>
    </row>
    <row r="709" customFormat="false" ht="15" hidden="false" customHeight="false" outlineLevel="0" collapsed="false">
      <c r="A709" s="23" t="n">
        <f aca="false">Penalty!$B$5+705</f>
        <v>46832</v>
      </c>
      <c r="B709" s="24" t="n">
        <f aca="false">IF(YEAR(A709)&gt;2026,Penalty!$B$16/100,IFERROR(INDEX(Rates!$B$4:$E$15,MATCH(YEAR(A709),Rates!$A$4:$A$15,0),ROUNDUP(MONTH(A709)/3,0))/100,0.03))</f>
        <v>0.07</v>
      </c>
      <c r="C709" s="25" t="n">
        <f aca="false">MAX(0,Penalty!$B$4-SUMIFS(Penalty!$C$10:$C$12,Penalty!$B$10:$B$12,"&lt;"&amp;A709))</f>
        <v>12000</v>
      </c>
      <c r="D709" s="25" t="n">
        <f aca="false">IF(A709&lt;=Penalty!$B$8,C709+F708+IF(A709&gt;Penalty!$B$19,Penalty!$I$5,0)+G708,0)</f>
        <v>0</v>
      </c>
      <c r="E709" s="26" t="n">
        <f aca="false">D709*B709/365</f>
        <v>0</v>
      </c>
      <c r="F709" s="25" t="n">
        <f aca="false">F708+E709*(1-IF(D709&gt;0,(IF(A709&gt;Penalty!$B$19,Penalty!$I$5,0)+G708)/D709,0))</f>
        <v>345.789278153858</v>
      </c>
      <c r="G709" s="25" t="n">
        <f aca="false">G708+E709*IF(D709&gt;0,(IF(A709&gt;Penalty!$B$19,Penalty!$I$5,0)+G708)/D709,0)</f>
        <v>46.6815525507708</v>
      </c>
    </row>
    <row r="710" customFormat="false" ht="15" hidden="false" customHeight="false" outlineLevel="0" collapsed="false">
      <c r="A710" s="23" t="n">
        <f aca="false">Penalty!$B$5+706</f>
        <v>46833</v>
      </c>
      <c r="B710" s="24" t="n">
        <f aca="false">IF(YEAR(A710)&gt;2026,Penalty!$B$16/100,IFERROR(INDEX(Rates!$B$4:$E$15,MATCH(YEAR(A710),Rates!$A$4:$A$15,0),ROUNDUP(MONTH(A710)/3,0))/100,0.03))</f>
        <v>0.07</v>
      </c>
      <c r="C710" s="25" t="n">
        <f aca="false">MAX(0,Penalty!$B$4-SUMIFS(Penalty!$C$10:$C$12,Penalty!$B$10:$B$12,"&lt;"&amp;A710))</f>
        <v>12000</v>
      </c>
      <c r="D710" s="25" t="n">
        <f aca="false">IF(A710&lt;=Penalty!$B$8,C710+F709+IF(A710&gt;Penalty!$B$19,Penalty!$I$5,0)+G709,0)</f>
        <v>0</v>
      </c>
      <c r="E710" s="26" t="n">
        <f aca="false">D710*B710/365</f>
        <v>0</v>
      </c>
      <c r="F710" s="25" t="n">
        <f aca="false">F709+E710*(1-IF(D710&gt;0,(IF(A710&gt;Penalty!$B$19,Penalty!$I$5,0)+G709)/D710,0))</f>
        <v>345.789278153858</v>
      </c>
      <c r="G710" s="25" t="n">
        <f aca="false">G709+E710*IF(D710&gt;0,(IF(A710&gt;Penalty!$B$19,Penalty!$I$5,0)+G709)/D710,0)</f>
        <v>46.6815525507708</v>
      </c>
    </row>
    <row r="711" customFormat="false" ht="15" hidden="false" customHeight="false" outlineLevel="0" collapsed="false">
      <c r="A711" s="23" t="n">
        <f aca="false">Penalty!$B$5+707</f>
        <v>46834</v>
      </c>
      <c r="B711" s="24" t="n">
        <f aca="false">IF(YEAR(A711)&gt;2026,Penalty!$B$16/100,IFERROR(INDEX(Rates!$B$4:$E$15,MATCH(YEAR(A711),Rates!$A$4:$A$15,0),ROUNDUP(MONTH(A711)/3,0))/100,0.03))</f>
        <v>0.07</v>
      </c>
      <c r="C711" s="25" t="n">
        <f aca="false">MAX(0,Penalty!$B$4-SUMIFS(Penalty!$C$10:$C$12,Penalty!$B$10:$B$12,"&lt;"&amp;A711))</f>
        <v>12000</v>
      </c>
      <c r="D711" s="25" t="n">
        <f aca="false">IF(A711&lt;=Penalty!$B$8,C711+F710+IF(A711&gt;Penalty!$B$19,Penalty!$I$5,0)+G710,0)</f>
        <v>0</v>
      </c>
      <c r="E711" s="26" t="n">
        <f aca="false">D711*B711/365</f>
        <v>0</v>
      </c>
      <c r="F711" s="25" t="n">
        <f aca="false">F710+E711*(1-IF(D711&gt;0,(IF(A711&gt;Penalty!$B$19,Penalty!$I$5,0)+G710)/D711,0))</f>
        <v>345.789278153858</v>
      </c>
      <c r="G711" s="25" t="n">
        <f aca="false">G710+E711*IF(D711&gt;0,(IF(A711&gt;Penalty!$B$19,Penalty!$I$5,0)+G710)/D711,0)</f>
        <v>46.6815525507708</v>
      </c>
    </row>
    <row r="712" customFormat="false" ht="15" hidden="false" customHeight="false" outlineLevel="0" collapsed="false">
      <c r="A712" s="23" t="n">
        <f aca="false">Penalty!$B$5+708</f>
        <v>46835</v>
      </c>
      <c r="B712" s="24" t="n">
        <f aca="false">IF(YEAR(A712)&gt;2026,Penalty!$B$16/100,IFERROR(INDEX(Rates!$B$4:$E$15,MATCH(YEAR(A712),Rates!$A$4:$A$15,0),ROUNDUP(MONTH(A712)/3,0))/100,0.03))</f>
        <v>0.07</v>
      </c>
      <c r="C712" s="25" t="n">
        <f aca="false">MAX(0,Penalty!$B$4-SUMIFS(Penalty!$C$10:$C$12,Penalty!$B$10:$B$12,"&lt;"&amp;A712))</f>
        <v>12000</v>
      </c>
      <c r="D712" s="25" t="n">
        <f aca="false">IF(A712&lt;=Penalty!$B$8,C712+F711+IF(A712&gt;Penalty!$B$19,Penalty!$I$5,0)+G711,0)</f>
        <v>0</v>
      </c>
      <c r="E712" s="26" t="n">
        <f aca="false">D712*B712/365</f>
        <v>0</v>
      </c>
      <c r="F712" s="25" t="n">
        <f aca="false">F711+E712*(1-IF(D712&gt;0,(IF(A712&gt;Penalty!$B$19,Penalty!$I$5,0)+G711)/D712,0))</f>
        <v>345.789278153858</v>
      </c>
      <c r="G712" s="25" t="n">
        <f aca="false">G711+E712*IF(D712&gt;0,(IF(A712&gt;Penalty!$B$19,Penalty!$I$5,0)+G711)/D712,0)</f>
        <v>46.6815525507708</v>
      </c>
    </row>
    <row r="713" customFormat="false" ht="15" hidden="false" customHeight="false" outlineLevel="0" collapsed="false">
      <c r="A713" s="23" t="n">
        <f aca="false">Penalty!$B$5+709</f>
        <v>46836</v>
      </c>
      <c r="B713" s="24" t="n">
        <f aca="false">IF(YEAR(A713)&gt;2026,Penalty!$B$16/100,IFERROR(INDEX(Rates!$B$4:$E$15,MATCH(YEAR(A713),Rates!$A$4:$A$15,0),ROUNDUP(MONTH(A713)/3,0))/100,0.03))</f>
        <v>0.07</v>
      </c>
      <c r="C713" s="25" t="n">
        <f aca="false">MAX(0,Penalty!$B$4-SUMIFS(Penalty!$C$10:$C$12,Penalty!$B$10:$B$12,"&lt;"&amp;A713))</f>
        <v>12000</v>
      </c>
      <c r="D713" s="25" t="n">
        <f aca="false">IF(A713&lt;=Penalty!$B$8,C713+F712+IF(A713&gt;Penalty!$B$19,Penalty!$I$5,0)+G712,0)</f>
        <v>0</v>
      </c>
      <c r="E713" s="26" t="n">
        <f aca="false">D713*B713/365</f>
        <v>0</v>
      </c>
      <c r="F713" s="25" t="n">
        <f aca="false">F712+E713*(1-IF(D713&gt;0,(IF(A713&gt;Penalty!$B$19,Penalty!$I$5,0)+G712)/D713,0))</f>
        <v>345.789278153858</v>
      </c>
      <c r="G713" s="25" t="n">
        <f aca="false">G712+E713*IF(D713&gt;0,(IF(A713&gt;Penalty!$B$19,Penalty!$I$5,0)+G712)/D713,0)</f>
        <v>46.6815525507708</v>
      </c>
    </row>
    <row r="714" customFormat="false" ht="15" hidden="false" customHeight="false" outlineLevel="0" collapsed="false">
      <c r="A714" s="23" t="n">
        <f aca="false">Penalty!$B$5+710</f>
        <v>46837</v>
      </c>
      <c r="B714" s="24" t="n">
        <f aca="false">IF(YEAR(A714)&gt;2026,Penalty!$B$16/100,IFERROR(INDEX(Rates!$B$4:$E$15,MATCH(YEAR(A714),Rates!$A$4:$A$15,0),ROUNDUP(MONTH(A714)/3,0))/100,0.03))</f>
        <v>0.07</v>
      </c>
      <c r="C714" s="25" t="n">
        <f aca="false">MAX(0,Penalty!$B$4-SUMIFS(Penalty!$C$10:$C$12,Penalty!$B$10:$B$12,"&lt;"&amp;A714))</f>
        <v>12000</v>
      </c>
      <c r="D714" s="25" t="n">
        <f aca="false">IF(A714&lt;=Penalty!$B$8,C714+F713+IF(A714&gt;Penalty!$B$19,Penalty!$I$5,0)+G713,0)</f>
        <v>0</v>
      </c>
      <c r="E714" s="26" t="n">
        <f aca="false">D714*B714/365</f>
        <v>0</v>
      </c>
      <c r="F714" s="25" t="n">
        <f aca="false">F713+E714*(1-IF(D714&gt;0,(IF(A714&gt;Penalty!$B$19,Penalty!$I$5,0)+G713)/D714,0))</f>
        <v>345.789278153858</v>
      </c>
      <c r="G714" s="25" t="n">
        <f aca="false">G713+E714*IF(D714&gt;0,(IF(A714&gt;Penalty!$B$19,Penalty!$I$5,0)+G713)/D714,0)</f>
        <v>46.6815525507708</v>
      </c>
    </row>
    <row r="715" customFormat="false" ht="15" hidden="false" customHeight="false" outlineLevel="0" collapsed="false">
      <c r="A715" s="23" t="n">
        <f aca="false">Penalty!$B$5+711</f>
        <v>46838</v>
      </c>
      <c r="B715" s="24" t="n">
        <f aca="false">IF(YEAR(A715)&gt;2026,Penalty!$B$16/100,IFERROR(INDEX(Rates!$B$4:$E$15,MATCH(YEAR(A715),Rates!$A$4:$A$15,0),ROUNDUP(MONTH(A715)/3,0))/100,0.03))</f>
        <v>0.07</v>
      </c>
      <c r="C715" s="25" t="n">
        <f aca="false">MAX(0,Penalty!$B$4-SUMIFS(Penalty!$C$10:$C$12,Penalty!$B$10:$B$12,"&lt;"&amp;A715))</f>
        <v>12000</v>
      </c>
      <c r="D715" s="25" t="n">
        <f aca="false">IF(A715&lt;=Penalty!$B$8,C715+F714+IF(A715&gt;Penalty!$B$19,Penalty!$I$5,0)+G714,0)</f>
        <v>0</v>
      </c>
      <c r="E715" s="26" t="n">
        <f aca="false">D715*B715/365</f>
        <v>0</v>
      </c>
      <c r="F715" s="25" t="n">
        <f aca="false">F714+E715*(1-IF(D715&gt;0,(IF(A715&gt;Penalty!$B$19,Penalty!$I$5,0)+G714)/D715,0))</f>
        <v>345.789278153858</v>
      </c>
      <c r="G715" s="25" t="n">
        <f aca="false">G714+E715*IF(D715&gt;0,(IF(A715&gt;Penalty!$B$19,Penalty!$I$5,0)+G714)/D715,0)</f>
        <v>46.6815525507708</v>
      </c>
    </row>
    <row r="716" customFormat="false" ht="15" hidden="false" customHeight="false" outlineLevel="0" collapsed="false">
      <c r="A716" s="23" t="n">
        <f aca="false">Penalty!$B$5+712</f>
        <v>46839</v>
      </c>
      <c r="B716" s="24" t="n">
        <f aca="false">IF(YEAR(A716)&gt;2026,Penalty!$B$16/100,IFERROR(INDEX(Rates!$B$4:$E$15,MATCH(YEAR(A716),Rates!$A$4:$A$15,0),ROUNDUP(MONTH(A716)/3,0))/100,0.03))</f>
        <v>0.07</v>
      </c>
      <c r="C716" s="25" t="n">
        <f aca="false">MAX(0,Penalty!$B$4-SUMIFS(Penalty!$C$10:$C$12,Penalty!$B$10:$B$12,"&lt;"&amp;A716))</f>
        <v>12000</v>
      </c>
      <c r="D716" s="25" t="n">
        <f aca="false">IF(A716&lt;=Penalty!$B$8,C716+F715+IF(A716&gt;Penalty!$B$19,Penalty!$I$5,0)+G715,0)</f>
        <v>0</v>
      </c>
      <c r="E716" s="26" t="n">
        <f aca="false">D716*B716/365</f>
        <v>0</v>
      </c>
      <c r="F716" s="25" t="n">
        <f aca="false">F715+E716*(1-IF(D716&gt;0,(IF(A716&gt;Penalty!$B$19,Penalty!$I$5,0)+G715)/D716,0))</f>
        <v>345.789278153858</v>
      </c>
      <c r="G716" s="25" t="n">
        <f aca="false">G715+E716*IF(D716&gt;0,(IF(A716&gt;Penalty!$B$19,Penalty!$I$5,0)+G715)/D716,0)</f>
        <v>46.6815525507708</v>
      </c>
    </row>
    <row r="717" customFormat="false" ht="15" hidden="false" customHeight="false" outlineLevel="0" collapsed="false">
      <c r="A717" s="23" t="n">
        <f aca="false">Penalty!$B$5+713</f>
        <v>46840</v>
      </c>
      <c r="B717" s="24" t="n">
        <f aca="false">IF(YEAR(A717)&gt;2026,Penalty!$B$16/100,IFERROR(INDEX(Rates!$B$4:$E$15,MATCH(YEAR(A717),Rates!$A$4:$A$15,0),ROUNDUP(MONTH(A717)/3,0))/100,0.03))</f>
        <v>0.07</v>
      </c>
      <c r="C717" s="25" t="n">
        <f aca="false">MAX(0,Penalty!$B$4-SUMIFS(Penalty!$C$10:$C$12,Penalty!$B$10:$B$12,"&lt;"&amp;A717))</f>
        <v>12000</v>
      </c>
      <c r="D717" s="25" t="n">
        <f aca="false">IF(A717&lt;=Penalty!$B$8,C717+F716+IF(A717&gt;Penalty!$B$19,Penalty!$I$5,0)+G716,0)</f>
        <v>0</v>
      </c>
      <c r="E717" s="26" t="n">
        <f aca="false">D717*B717/365</f>
        <v>0</v>
      </c>
      <c r="F717" s="25" t="n">
        <f aca="false">F716+E717*(1-IF(D717&gt;0,(IF(A717&gt;Penalty!$B$19,Penalty!$I$5,0)+G716)/D717,0))</f>
        <v>345.789278153858</v>
      </c>
      <c r="G717" s="25" t="n">
        <f aca="false">G716+E717*IF(D717&gt;0,(IF(A717&gt;Penalty!$B$19,Penalty!$I$5,0)+G716)/D717,0)</f>
        <v>46.6815525507708</v>
      </c>
    </row>
    <row r="718" customFormat="false" ht="15" hidden="false" customHeight="false" outlineLevel="0" collapsed="false">
      <c r="A718" s="23" t="n">
        <f aca="false">Penalty!$B$5+714</f>
        <v>46841</v>
      </c>
      <c r="B718" s="24" t="n">
        <f aca="false">IF(YEAR(A718)&gt;2026,Penalty!$B$16/100,IFERROR(INDEX(Rates!$B$4:$E$15,MATCH(YEAR(A718),Rates!$A$4:$A$15,0),ROUNDUP(MONTH(A718)/3,0))/100,0.03))</f>
        <v>0.07</v>
      </c>
      <c r="C718" s="25" t="n">
        <f aca="false">MAX(0,Penalty!$B$4-SUMIFS(Penalty!$C$10:$C$12,Penalty!$B$10:$B$12,"&lt;"&amp;A718))</f>
        <v>12000</v>
      </c>
      <c r="D718" s="25" t="n">
        <f aca="false">IF(A718&lt;=Penalty!$B$8,C718+F717+IF(A718&gt;Penalty!$B$19,Penalty!$I$5,0)+G717,0)</f>
        <v>0</v>
      </c>
      <c r="E718" s="26" t="n">
        <f aca="false">D718*B718/365</f>
        <v>0</v>
      </c>
      <c r="F718" s="25" t="n">
        <f aca="false">F717+E718*(1-IF(D718&gt;0,(IF(A718&gt;Penalty!$B$19,Penalty!$I$5,0)+G717)/D718,0))</f>
        <v>345.789278153858</v>
      </c>
      <c r="G718" s="25" t="n">
        <f aca="false">G717+E718*IF(D718&gt;0,(IF(A718&gt;Penalty!$B$19,Penalty!$I$5,0)+G717)/D718,0)</f>
        <v>46.6815525507708</v>
      </c>
    </row>
    <row r="719" customFormat="false" ht="15" hidden="false" customHeight="false" outlineLevel="0" collapsed="false">
      <c r="A719" s="23" t="n">
        <f aca="false">Penalty!$B$5+715</f>
        <v>46842</v>
      </c>
      <c r="B719" s="24" t="n">
        <f aca="false">IF(YEAR(A719)&gt;2026,Penalty!$B$16/100,IFERROR(INDEX(Rates!$B$4:$E$15,MATCH(YEAR(A719),Rates!$A$4:$A$15,0),ROUNDUP(MONTH(A719)/3,0))/100,0.03))</f>
        <v>0.07</v>
      </c>
      <c r="C719" s="25" t="n">
        <f aca="false">MAX(0,Penalty!$B$4-SUMIFS(Penalty!$C$10:$C$12,Penalty!$B$10:$B$12,"&lt;"&amp;A719))</f>
        <v>12000</v>
      </c>
      <c r="D719" s="25" t="n">
        <f aca="false">IF(A719&lt;=Penalty!$B$8,C719+F718+IF(A719&gt;Penalty!$B$19,Penalty!$I$5,0)+G718,0)</f>
        <v>0</v>
      </c>
      <c r="E719" s="26" t="n">
        <f aca="false">D719*B719/365</f>
        <v>0</v>
      </c>
      <c r="F719" s="25" t="n">
        <f aca="false">F718+E719*(1-IF(D719&gt;0,(IF(A719&gt;Penalty!$B$19,Penalty!$I$5,0)+G718)/D719,0))</f>
        <v>345.789278153858</v>
      </c>
      <c r="G719" s="25" t="n">
        <f aca="false">G718+E719*IF(D719&gt;0,(IF(A719&gt;Penalty!$B$19,Penalty!$I$5,0)+G718)/D719,0)</f>
        <v>46.6815525507708</v>
      </c>
    </row>
    <row r="720" customFormat="false" ht="15" hidden="false" customHeight="false" outlineLevel="0" collapsed="false">
      <c r="A720" s="23" t="n">
        <f aca="false">Penalty!$B$5+716</f>
        <v>46843</v>
      </c>
      <c r="B720" s="24" t="n">
        <f aca="false">IF(YEAR(A720)&gt;2026,Penalty!$B$16/100,IFERROR(INDEX(Rates!$B$4:$E$15,MATCH(YEAR(A720),Rates!$A$4:$A$15,0),ROUNDUP(MONTH(A720)/3,0))/100,0.03))</f>
        <v>0.07</v>
      </c>
      <c r="C720" s="25" t="n">
        <f aca="false">MAX(0,Penalty!$B$4-SUMIFS(Penalty!$C$10:$C$12,Penalty!$B$10:$B$12,"&lt;"&amp;A720))</f>
        <v>12000</v>
      </c>
      <c r="D720" s="25" t="n">
        <f aca="false">IF(A720&lt;=Penalty!$B$8,C720+F719+IF(A720&gt;Penalty!$B$19,Penalty!$I$5,0)+G719,0)</f>
        <v>0</v>
      </c>
      <c r="E720" s="26" t="n">
        <f aca="false">D720*B720/365</f>
        <v>0</v>
      </c>
      <c r="F720" s="25" t="n">
        <f aca="false">F719+E720*(1-IF(D720&gt;0,(IF(A720&gt;Penalty!$B$19,Penalty!$I$5,0)+G719)/D720,0))</f>
        <v>345.789278153858</v>
      </c>
      <c r="G720" s="25" t="n">
        <f aca="false">G719+E720*IF(D720&gt;0,(IF(A720&gt;Penalty!$B$19,Penalty!$I$5,0)+G719)/D720,0)</f>
        <v>46.6815525507708</v>
      </c>
    </row>
    <row r="721" customFormat="false" ht="15" hidden="false" customHeight="false" outlineLevel="0" collapsed="false">
      <c r="A721" s="23" t="n">
        <f aca="false">Penalty!$B$5+717</f>
        <v>46844</v>
      </c>
      <c r="B721" s="24" t="n">
        <f aca="false">IF(YEAR(A721)&gt;2026,Penalty!$B$16/100,IFERROR(INDEX(Rates!$B$4:$E$15,MATCH(YEAR(A721),Rates!$A$4:$A$15,0),ROUNDUP(MONTH(A721)/3,0))/100,0.03))</f>
        <v>0.07</v>
      </c>
      <c r="C721" s="25" t="n">
        <f aca="false">MAX(0,Penalty!$B$4-SUMIFS(Penalty!$C$10:$C$12,Penalty!$B$10:$B$12,"&lt;"&amp;A721))</f>
        <v>12000</v>
      </c>
      <c r="D721" s="25" t="n">
        <f aca="false">IF(A721&lt;=Penalty!$B$8,C721+F720+IF(A721&gt;Penalty!$B$19,Penalty!$I$5,0)+G720,0)</f>
        <v>0</v>
      </c>
      <c r="E721" s="26" t="n">
        <f aca="false">D721*B721/365</f>
        <v>0</v>
      </c>
      <c r="F721" s="25" t="n">
        <f aca="false">F720+E721*(1-IF(D721&gt;0,(IF(A721&gt;Penalty!$B$19,Penalty!$I$5,0)+G720)/D721,0))</f>
        <v>345.789278153858</v>
      </c>
      <c r="G721" s="25" t="n">
        <f aca="false">G720+E721*IF(D721&gt;0,(IF(A721&gt;Penalty!$B$19,Penalty!$I$5,0)+G720)/D721,0)</f>
        <v>46.6815525507708</v>
      </c>
    </row>
    <row r="722" customFormat="false" ht="15" hidden="false" customHeight="false" outlineLevel="0" collapsed="false">
      <c r="A722" s="23" t="n">
        <f aca="false">Penalty!$B$5+718</f>
        <v>46845</v>
      </c>
      <c r="B722" s="24" t="n">
        <f aca="false">IF(YEAR(A722)&gt;2026,Penalty!$B$16/100,IFERROR(INDEX(Rates!$B$4:$E$15,MATCH(YEAR(A722),Rates!$A$4:$A$15,0),ROUNDUP(MONTH(A722)/3,0))/100,0.03))</f>
        <v>0.07</v>
      </c>
      <c r="C722" s="25" t="n">
        <f aca="false">MAX(0,Penalty!$B$4-SUMIFS(Penalty!$C$10:$C$12,Penalty!$B$10:$B$12,"&lt;"&amp;A722))</f>
        <v>12000</v>
      </c>
      <c r="D722" s="25" t="n">
        <f aca="false">IF(A722&lt;=Penalty!$B$8,C722+F721+IF(A722&gt;Penalty!$B$19,Penalty!$I$5,0)+G721,0)</f>
        <v>0</v>
      </c>
      <c r="E722" s="26" t="n">
        <f aca="false">D722*B722/365</f>
        <v>0</v>
      </c>
      <c r="F722" s="25" t="n">
        <f aca="false">F721+E722*(1-IF(D722&gt;0,(IF(A722&gt;Penalty!$B$19,Penalty!$I$5,0)+G721)/D722,0))</f>
        <v>345.789278153858</v>
      </c>
      <c r="G722" s="25" t="n">
        <f aca="false">G721+E722*IF(D722&gt;0,(IF(A722&gt;Penalty!$B$19,Penalty!$I$5,0)+G721)/D722,0)</f>
        <v>46.6815525507708</v>
      </c>
    </row>
    <row r="723" customFormat="false" ht="15" hidden="false" customHeight="false" outlineLevel="0" collapsed="false">
      <c r="A723" s="23" t="n">
        <f aca="false">Penalty!$B$5+719</f>
        <v>46846</v>
      </c>
      <c r="B723" s="24" t="n">
        <f aca="false">IF(YEAR(A723)&gt;2026,Penalty!$B$16/100,IFERROR(INDEX(Rates!$B$4:$E$15,MATCH(YEAR(A723),Rates!$A$4:$A$15,0),ROUNDUP(MONTH(A723)/3,0))/100,0.03))</f>
        <v>0.07</v>
      </c>
      <c r="C723" s="25" t="n">
        <f aca="false">MAX(0,Penalty!$B$4-SUMIFS(Penalty!$C$10:$C$12,Penalty!$B$10:$B$12,"&lt;"&amp;A723))</f>
        <v>12000</v>
      </c>
      <c r="D723" s="25" t="n">
        <f aca="false">IF(A723&lt;=Penalty!$B$8,C723+F722+IF(A723&gt;Penalty!$B$19,Penalty!$I$5,0)+G722,0)</f>
        <v>0</v>
      </c>
      <c r="E723" s="26" t="n">
        <f aca="false">D723*B723/365</f>
        <v>0</v>
      </c>
      <c r="F723" s="25" t="n">
        <f aca="false">F722+E723*(1-IF(D723&gt;0,(IF(A723&gt;Penalty!$B$19,Penalty!$I$5,0)+G722)/D723,0))</f>
        <v>345.789278153858</v>
      </c>
      <c r="G723" s="25" t="n">
        <f aca="false">G722+E723*IF(D723&gt;0,(IF(A723&gt;Penalty!$B$19,Penalty!$I$5,0)+G722)/D723,0)</f>
        <v>46.6815525507708</v>
      </c>
    </row>
    <row r="724" customFormat="false" ht="15" hidden="false" customHeight="false" outlineLevel="0" collapsed="false">
      <c r="A724" s="23" t="n">
        <f aca="false">Penalty!$B$5+720</f>
        <v>46847</v>
      </c>
      <c r="B724" s="24" t="n">
        <f aca="false">IF(YEAR(A724)&gt;2026,Penalty!$B$16/100,IFERROR(INDEX(Rates!$B$4:$E$15,MATCH(YEAR(A724),Rates!$A$4:$A$15,0),ROUNDUP(MONTH(A724)/3,0))/100,0.03))</f>
        <v>0.07</v>
      </c>
      <c r="C724" s="25" t="n">
        <f aca="false">MAX(0,Penalty!$B$4-SUMIFS(Penalty!$C$10:$C$12,Penalty!$B$10:$B$12,"&lt;"&amp;A724))</f>
        <v>12000</v>
      </c>
      <c r="D724" s="25" t="n">
        <f aca="false">IF(A724&lt;=Penalty!$B$8,C724+F723+IF(A724&gt;Penalty!$B$19,Penalty!$I$5,0)+G723,0)</f>
        <v>0</v>
      </c>
      <c r="E724" s="26" t="n">
        <f aca="false">D724*B724/365</f>
        <v>0</v>
      </c>
      <c r="F724" s="25" t="n">
        <f aca="false">F723+E724*(1-IF(D724&gt;0,(IF(A724&gt;Penalty!$B$19,Penalty!$I$5,0)+G723)/D724,0))</f>
        <v>345.789278153858</v>
      </c>
      <c r="G724" s="25" t="n">
        <f aca="false">G723+E724*IF(D724&gt;0,(IF(A724&gt;Penalty!$B$19,Penalty!$I$5,0)+G723)/D724,0)</f>
        <v>46.6815525507708</v>
      </c>
    </row>
    <row r="725" customFormat="false" ht="15" hidden="false" customHeight="false" outlineLevel="0" collapsed="false">
      <c r="A725" s="23" t="n">
        <f aca="false">Penalty!$B$5+721</f>
        <v>46848</v>
      </c>
      <c r="B725" s="24" t="n">
        <f aca="false">IF(YEAR(A725)&gt;2026,Penalty!$B$16/100,IFERROR(INDEX(Rates!$B$4:$E$15,MATCH(YEAR(A725),Rates!$A$4:$A$15,0),ROUNDUP(MONTH(A725)/3,0))/100,0.03))</f>
        <v>0.07</v>
      </c>
      <c r="C725" s="25" t="n">
        <f aca="false">MAX(0,Penalty!$B$4-SUMIFS(Penalty!$C$10:$C$12,Penalty!$B$10:$B$12,"&lt;"&amp;A725))</f>
        <v>12000</v>
      </c>
      <c r="D725" s="25" t="n">
        <f aca="false">IF(A725&lt;=Penalty!$B$8,C725+F724+IF(A725&gt;Penalty!$B$19,Penalty!$I$5,0)+G724,0)</f>
        <v>0</v>
      </c>
      <c r="E725" s="26" t="n">
        <f aca="false">D725*B725/365</f>
        <v>0</v>
      </c>
      <c r="F725" s="25" t="n">
        <f aca="false">F724+E725*(1-IF(D725&gt;0,(IF(A725&gt;Penalty!$B$19,Penalty!$I$5,0)+G724)/D725,0))</f>
        <v>345.789278153858</v>
      </c>
      <c r="G725" s="25" t="n">
        <f aca="false">G724+E725*IF(D725&gt;0,(IF(A725&gt;Penalty!$B$19,Penalty!$I$5,0)+G724)/D725,0)</f>
        <v>46.6815525507708</v>
      </c>
    </row>
    <row r="726" customFormat="false" ht="15" hidden="false" customHeight="false" outlineLevel="0" collapsed="false">
      <c r="A726" s="23" t="n">
        <f aca="false">Penalty!$B$5+722</f>
        <v>46849</v>
      </c>
      <c r="B726" s="24" t="n">
        <f aca="false">IF(YEAR(A726)&gt;2026,Penalty!$B$16/100,IFERROR(INDEX(Rates!$B$4:$E$15,MATCH(YEAR(A726),Rates!$A$4:$A$15,0),ROUNDUP(MONTH(A726)/3,0))/100,0.03))</f>
        <v>0.07</v>
      </c>
      <c r="C726" s="25" t="n">
        <f aca="false">MAX(0,Penalty!$B$4-SUMIFS(Penalty!$C$10:$C$12,Penalty!$B$10:$B$12,"&lt;"&amp;A726))</f>
        <v>12000</v>
      </c>
      <c r="D726" s="25" t="n">
        <f aca="false">IF(A726&lt;=Penalty!$B$8,C726+F725+IF(A726&gt;Penalty!$B$19,Penalty!$I$5,0)+G725,0)</f>
        <v>0</v>
      </c>
      <c r="E726" s="26" t="n">
        <f aca="false">D726*B726/365</f>
        <v>0</v>
      </c>
      <c r="F726" s="25" t="n">
        <f aca="false">F725+E726*(1-IF(D726&gt;0,(IF(A726&gt;Penalty!$B$19,Penalty!$I$5,0)+G725)/D726,0))</f>
        <v>345.789278153858</v>
      </c>
      <c r="G726" s="25" t="n">
        <f aca="false">G725+E726*IF(D726&gt;0,(IF(A726&gt;Penalty!$B$19,Penalty!$I$5,0)+G725)/D726,0)</f>
        <v>46.6815525507708</v>
      </c>
    </row>
    <row r="727" customFormat="false" ht="15" hidden="false" customHeight="false" outlineLevel="0" collapsed="false">
      <c r="A727" s="23" t="n">
        <f aca="false">Penalty!$B$5+723</f>
        <v>46850</v>
      </c>
      <c r="B727" s="24" t="n">
        <f aca="false">IF(YEAR(A727)&gt;2026,Penalty!$B$16/100,IFERROR(INDEX(Rates!$B$4:$E$15,MATCH(YEAR(A727),Rates!$A$4:$A$15,0),ROUNDUP(MONTH(A727)/3,0))/100,0.03))</f>
        <v>0.07</v>
      </c>
      <c r="C727" s="25" t="n">
        <f aca="false">MAX(0,Penalty!$B$4-SUMIFS(Penalty!$C$10:$C$12,Penalty!$B$10:$B$12,"&lt;"&amp;A727))</f>
        <v>12000</v>
      </c>
      <c r="D727" s="25" t="n">
        <f aca="false">IF(A727&lt;=Penalty!$B$8,C727+F726+IF(A727&gt;Penalty!$B$19,Penalty!$I$5,0)+G726,0)</f>
        <v>0</v>
      </c>
      <c r="E727" s="26" t="n">
        <f aca="false">D727*B727/365</f>
        <v>0</v>
      </c>
      <c r="F727" s="25" t="n">
        <f aca="false">F726+E727*(1-IF(D727&gt;0,(IF(A727&gt;Penalty!$B$19,Penalty!$I$5,0)+G726)/D727,0))</f>
        <v>345.789278153858</v>
      </c>
      <c r="G727" s="25" t="n">
        <f aca="false">G726+E727*IF(D727&gt;0,(IF(A727&gt;Penalty!$B$19,Penalty!$I$5,0)+G726)/D727,0)</f>
        <v>46.6815525507708</v>
      </c>
    </row>
    <row r="728" customFormat="false" ht="15" hidden="false" customHeight="false" outlineLevel="0" collapsed="false">
      <c r="A728" s="23" t="n">
        <f aca="false">Penalty!$B$5+724</f>
        <v>46851</v>
      </c>
      <c r="B728" s="24" t="n">
        <f aca="false">IF(YEAR(A728)&gt;2026,Penalty!$B$16/100,IFERROR(INDEX(Rates!$B$4:$E$15,MATCH(YEAR(A728),Rates!$A$4:$A$15,0),ROUNDUP(MONTH(A728)/3,0))/100,0.03))</f>
        <v>0.07</v>
      </c>
      <c r="C728" s="25" t="n">
        <f aca="false">MAX(0,Penalty!$B$4-SUMIFS(Penalty!$C$10:$C$12,Penalty!$B$10:$B$12,"&lt;"&amp;A728))</f>
        <v>12000</v>
      </c>
      <c r="D728" s="25" t="n">
        <f aca="false">IF(A728&lt;=Penalty!$B$8,C728+F727+IF(A728&gt;Penalty!$B$19,Penalty!$I$5,0)+G727,0)</f>
        <v>0</v>
      </c>
      <c r="E728" s="26" t="n">
        <f aca="false">D728*B728/365</f>
        <v>0</v>
      </c>
      <c r="F728" s="25" t="n">
        <f aca="false">F727+E728*(1-IF(D728&gt;0,(IF(A728&gt;Penalty!$B$19,Penalty!$I$5,0)+G727)/D728,0))</f>
        <v>345.789278153858</v>
      </c>
      <c r="G728" s="25" t="n">
        <f aca="false">G727+E728*IF(D728&gt;0,(IF(A728&gt;Penalty!$B$19,Penalty!$I$5,0)+G727)/D728,0)</f>
        <v>46.6815525507708</v>
      </c>
    </row>
    <row r="729" customFormat="false" ht="15" hidden="false" customHeight="false" outlineLevel="0" collapsed="false">
      <c r="A729" s="23" t="n">
        <f aca="false">Penalty!$B$5+725</f>
        <v>46852</v>
      </c>
      <c r="B729" s="24" t="n">
        <f aca="false">IF(YEAR(A729)&gt;2026,Penalty!$B$16/100,IFERROR(INDEX(Rates!$B$4:$E$15,MATCH(YEAR(A729),Rates!$A$4:$A$15,0),ROUNDUP(MONTH(A729)/3,0))/100,0.03))</f>
        <v>0.07</v>
      </c>
      <c r="C729" s="25" t="n">
        <f aca="false">MAX(0,Penalty!$B$4-SUMIFS(Penalty!$C$10:$C$12,Penalty!$B$10:$B$12,"&lt;"&amp;A729))</f>
        <v>12000</v>
      </c>
      <c r="D729" s="25" t="n">
        <f aca="false">IF(A729&lt;=Penalty!$B$8,C729+F728+IF(A729&gt;Penalty!$B$19,Penalty!$I$5,0)+G728,0)</f>
        <v>0</v>
      </c>
      <c r="E729" s="26" t="n">
        <f aca="false">D729*B729/365</f>
        <v>0</v>
      </c>
      <c r="F729" s="25" t="n">
        <f aca="false">F728+E729*(1-IF(D729&gt;0,(IF(A729&gt;Penalty!$B$19,Penalty!$I$5,0)+G728)/D729,0))</f>
        <v>345.789278153858</v>
      </c>
      <c r="G729" s="25" t="n">
        <f aca="false">G728+E729*IF(D729&gt;0,(IF(A729&gt;Penalty!$B$19,Penalty!$I$5,0)+G728)/D729,0)</f>
        <v>46.6815525507708</v>
      </c>
    </row>
    <row r="730" customFormat="false" ht="15" hidden="false" customHeight="false" outlineLevel="0" collapsed="false">
      <c r="A730" s="23" t="n">
        <f aca="false">Penalty!$B$5+726</f>
        <v>46853</v>
      </c>
      <c r="B730" s="24" t="n">
        <f aca="false">IF(YEAR(A730)&gt;2026,Penalty!$B$16/100,IFERROR(INDEX(Rates!$B$4:$E$15,MATCH(YEAR(A730),Rates!$A$4:$A$15,0),ROUNDUP(MONTH(A730)/3,0))/100,0.03))</f>
        <v>0.07</v>
      </c>
      <c r="C730" s="25" t="n">
        <f aca="false">MAX(0,Penalty!$B$4-SUMIFS(Penalty!$C$10:$C$12,Penalty!$B$10:$B$12,"&lt;"&amp;A730))</f>
        <v>12000</v>
      </c>
      <c r="D730" s="25" t="n">
        <f aca="false">IF(A730&lt;=Penalty!$B$8,C730+F729+IF(A730&gt;Penalty!$B$19,Penalty!$I$5,0)+G729,0)</f>
        <v>0</v>
      </c>
      <c r="E730" s="26" t="n">
        <f aca="false">D730*B730/365</f>
        <v>0</v>
      </c>
      <c r="F730" s="25" t="n">
        <f aca="false">F729+E730*(1-IF(D730&gt;0,(IF(A730&gt;Penalty!$B$19,Penalty!$I$5,0)+G729)/D730,0))</f>
        <v>345.789278153858</v>
      </c>
      <c r="G730" s="25" t="n">
        <f aca="false">G729+E730*IF(D730&gt;0,(IF(A730&gt;Penalty!$B$19,Penalty!$I$5,0)+G729)/D730,0)</f>
        <v>46.6815525507708</v>
      </c>
    </row>
    <row r="731" customFormat="false" ht="15" hidden="false" customHeight="false" outlineLevel="0" collapsed="false">
      <c r="A731" s="23" t="n">
        <f aca="false">Penalty!$B$5+727</f>
        <v>46854</v>
      </c>
      <c r="B731" s="24" t="n">
        <f aca="false">IF(YEAR(A731)&gt;2026,Penalty!$B$16/100,IFERROR(INDEX(Rates!$B$4:$E$15,MATCH(YEAR(A731),Rates!$A$4:$A$15,0),ROUNDUP(MONTH(A731)/3,0))/100,0.03))</f>
        <v>0.07</v>
      </c>
      <c r="C731" s="25" t="n">
        <f aca="false">MAX(0,Penalty!$B$4-SUMIFS(Penalty!$C$10:$C$12,Penalty!$B$10:$B$12,"&lt;"&amp;A731))</f>
        <v>12000</v>
      </c>
      <c r="D731" s="25" t="n">
        <f aca="false">IF(A731&lt;=Penalty!$B$8,C731+F730+IF(A731&gt;Penalty!$B$19,Penalty!$I$5,0)+G730,0)</f>
        <v>0</v>
      </c>
      <c r="E731" s="26" t="n">
        <f aca="false">D731*B731/365</f>
        <v>0</v>
      </c>
      <c r="F731" s="25" t="n">
        <f aca="false">F730+E731*(1-IF(D731&gt;0,(IF(A731&gt;Penalty!$B$19,Penalty!$I$5,0)+G730)/D731,0))</f>
        <v>345.789278153858</v>
      </c>
      <c r="G731" s="25" t="n">
        <f aca="false">G730+E731*IF(D731&gt;0,(IF(A731&gt;Penalty!$B$19,Penalty!$I$5,0)+G730)/D731,0)</f>
        <v>46.6815525507708</v>
      </c>
    </row>
    <row r="732" customFormat="false" ht="15" hidden="false" customHeight="false" outlineLevel="0" collapsed="false">
      <c r="A732" s="23" t="n">
        <f aca="false">Penalty!$B$5+728</f>
        <v>46855</v>
      </c>
      <c r="B732" s="24" t="n">
        <f aca="false">IF(YEAR(A732)&gt;2026,Penalty!$B$16/100,IFERROR(INDEX(Rates!$B$4:$E$15,MATCH(YEAR(A732),Rates!$A$4:$A$15,0),ROUNDUP(MONTH(A732)/3,0))/100,0.03))</f>
        <v>0.07</v>
      </c>
      <c r="C732" s="25" t="n">
        <f aca="false">MAX(0,Penalty!$B$4-SUMIFS(Penalty!$C$10:$C$12,Penalty!$B$10:$B$12,"&lt;"&amp;A732))</f>
        <v>12000</v>
      </c>
      <c r="D732" s="25" t="n">
        <f aca="false">IF(A732&lt;=Penalty!$B$8,C732+F731+IF(A732&gt;Penalty!$B$19,Penalty!$I$5,0)+G731,0)</f>
        <v>0</v>
      </c>
      <c r="E732" s="26" t="n">
        <f aca="false">D732*B732/365</f>
        <v>0</v>
      </c>
      <c r="F732" s="25" t="n">
        <f aca="false">F731+E732*(1-IF(D732&gt;0,(IF(A732&gt;Penalty!$B$19,Penalty!$I$5,0)+G731)/D732,0))</f>
        <v>345.789278153858</v>
      </c>
      <c r="G732" s="25" t="n">
        <f aca="false">G731+E732*IF(D732&gt;0,(IF(A732&gt;Penalty!$B$19,Penalty!$I$5,0)+G731)/D732,0)</f>
        <v>46.6815525507708</v>
      </c>
    </row>
    <row r="733" customFormat="false" ht="15" hidden="false" customHeight="false" outlineLevel="0" collapsed="false">
      <c r="A733" s="23" t="n">
        <f aca="false">Penalty!$B$5+729</f>
        <v>46856</v>
      </c>
      <c r="B733" s="24" t="n">
        <f aca="false">IF(YEAR(A733)&gt;2026,Penalty!$B$16/100,IFERROR(INDEX(Rates!$B$4:$E$15,MATCH(YEAR(A733),Rates!$A$4:$A$15,0),ROUNDUP(MONTH(A733)/3,0))/100,0.03))</f>
        <v>0.07</v>
      </c>
      <c r="C733" s="25" t="n">
        <f aca="false">MAX(0,Penalty!$B$4-SUMIFS(Penalty!$C$10:$C$12,Penalty!$B$10:$B$12,"&lt;"&amp;A733))</f>
        <v>12000</v>
      </c>
      <c r="D733" s="25" t="n">
        <f aca="false">IF(A733&lt;=Penalty!$B$8,C733+F732+IF(A733&gt;Penalty!$B$19,Penalty!$I$5,0)+G732,0)</f>
        <v>0</v>
      </c>
      <c r="E733" s="26" t="n">
        <f aca="false">D733*B733/365</f>
        <v>0</v>
      </c>
      <c r="F733" s="25" t="n">
        <f aca="false">F732+E733*(1-IF(D733&gt;0,(IF(A733&gt;Penalty!$B$19,Penalty!$I$5,0)+G732)/D733,0))</f>
        <v>345.789278153858</v>
      </c>
      <c r="G733" s="25" t="n">
        <f aca="false">G732+E733*IF(D733&gt;0,(IF(A733&gt;Penalty!$B$19,Penalty!$I$5,0)+G732)/D733,0)</f>
        <v>46.6815525507708</v>
      </c>
    </row>
    <row r="734" customFormat="false" ht="15" hidden="false" customHeight="false" outlineLevel="0" collapsed="false">
      <c r="A734" s="23" t="n">
        <f aca="false">Penalty!$B$5+730</f>
        <v>46857</v>
      </c>
      <c r="B734" s="24" t="n">
        <f aca="false">IF(YEAR(A734)&gt;2026,Penalty!$B$16/100,IFERROR(INDEX(Rates!$B$4:$E$15,MATCH(YEAR(A734),Rates!$A$4:$A$15,0),ROUNDUP(MONTH(A734)/3,0))/100,0.03))</f>
        <v>0.07</v>
      </c>
      <c r="C734" s="25" t="n">
        <f aca="false">MAX(0,Penalty!$B$4-SUMIFS(Penalty!$C$10:$C$12,Penalty!$B$10:$B$12,"&lt;"&amp;A734))</f>
        <v>12000</v>
      </c>
      <c r="D734" s="25" t="n">
        <f aca="false">IF(A734&lt;=Penalty!$B$8,C734+F733+IF(A734&gt;Penalty!$B$19,Penalty!$I$5,0)+G733,0)</f>
        <v>0</v>
      </c>
      <c r="E734" s="26" t="n">
        <f aca="false">D734*B734/365</f>
        <v>0</v>
      </c>
      <c r="F734" s="25" t="n">
        <f aca="false">F733+E734*(1-IF(D734&gt;0,(IF(A734&gt;Penalty!$B$19,Penalty!$I$5,0)+G733)/D734,0))</f>
        <v>345.789278153858</v>
      </c>
      <c r="G734" s="25" t="n">
        <f aca="false">G733+E734*IF(D734&gt;0,(IF(A734&gt;Penalty!$B$19,Penalty!$I$5,0)+G733)/D734,0)</f>
        <v>46.6815525507708</v>
      </c>
    </row>
    <row r="735" customFormat="false" ht="15" hidden="false" customHeight="false" outlineLevel="0" collapsed="false">
      <c r="A735" s="23" t="n">
        <f aca="false">Penalty!$B$5+731</f>
        <v>46858</v>
      </c>
      <c r="B735" s="24" t="n">
        <f aca="false">IF(YEAR(A735)&gt;2026,Penalty!$B$16/100,IFERROR(INDEX(Rates!$B$4:$E$15,MATCH(YEAR(A735),Rates!$A$4:$A$15,0),ROUNDUP(MONTH(A735)/3,0))/100,0.03))</f>
        <v>0.07</v>
      </c>
      <c r="C735" s="25" t="n">
        <f aca="false">MAX(0,Penalty!$B$4-SUMIFS(Penalty!$C$10:$C$12,Penalty!$B$10:$B$12,"&lt;"&amp;A735))</f>
        <v>12000</v>
      </c>
      <c r="D735" s="25" t="n">
        <f aca="false">IF(A735&lt;=Penalty!$B$8,C735+F734+IF(A735&gt;Penalty!$B$19,Penalty!$I$5,0)+G734,0)</f>
        <v>0</v>
      </c>
      <c r="E735" s="26" t="n">
        <f aca="false">D735*B735/365</f>
        <v>0</v>
      </c>
      <c r="F735" s="25" t="n">
        <f aca="false">F734+E735*(1-IF(D735&gt;0,(IF(A735&gt;Penalty!$B$19,Penalty!$I$5,0)+G734)/D735,0))</f>
        <v>345.789278153858</v>
      </c>
      <c r="G735" s="25" t="n">
        <f aca="false">G734+E735*IF(D735&gt;0,(IF(A735&gt;Penalty!$B$19,Penalty!$I$5,0)+G734)/D735,0)</f>
        <v>46.6815525507708</v>
      </c>
    </row>
    <row r="736" customFormat="false" ht="15" hidden="false" customHeight="false" outlineLevel="0" collapsed="false">
      <c r="A736" s="23" t="n">
        <f aca="false">Penalty!$B$5+732</f>
        <v>46859</v>
      </c>
      <c r="B736" s="24" t="n">
        <f aca="false">IF(YEAR(A736)&gt;2026,Penalty!$B$16/100,IFERROR(INDEX(Rates!$B$4:$E$15,MATCH(YEAR(A736),Rates!$A$4:$A$15,0),ROUNDUP(MONTH(A736)/3,0))/100,0.03))</f>
        <v>0.07</v>
      </c>
      <c r="C736" s="25" t="n">
        <f aca="false">MAX(0,Penalty!$B$4-SUMIFS(Penalty!$C$10:$C$12,Penalty!$B$10:$B$12,"&lt;"&amp;A736))</f>
        <v>12000</v>
      </c>
      <c r="D736" s="25" t="n">
        <f aca="false">IF(A736&lt;=Penalty!$B$8,C736+F735+IF(A736&gt;Penalty!$B$19,Penalty!$I$5,0)+G735,0)</f>
        <v>0</v>
      </c>
      <c r="E736" s="26" t="n">
        <f aca="false">D736*B736/365</f>
        <v>0</v>
      </c>
      <c r="F736" s="25" t="n">
        <f aca="false">F735+E736*(1-IF(D736&gt;0,(IF(A736&gt;Penalty!$B$19,Penalty!$I$5,0)+G735)/D736,0))</f>
        <v>345.789278153858</v>
      </c>
      <c r="G736" s="25" t="n">
        <f aca="false">G735+E736*IF(D736&gt;0,(IF(A736&gt;Penalty!$B$19,Penalty!$I$5,0)+G735)/D736,0)</f>
        <v>46.6815525507708</v>
      </c>
    </row>
    <row r="737" customFormat="false" ht="15" hidden="false" customHeight="false" outlineLevel="0" collapsed="false">
      <c r="A737" s="23" t="n">
        <f aca="false">Penalty!$B$5+733</f>
        <v>46860</v>
      </c>
      <c r="B737" s="24" t="n">
        <f aca="false">IF(YEAR(A737)&gt;2026,Penalty!$B$16/100,IFERROR(INDEX(Rates!$B$4:$E$15,MATCH(YEAR(A737),Rates!$A$4:$A$15,0),ROUNDUP(MONTH(A737)/3,0))/100,0.03))</f>
        <v>0.07</v>
      </c>
      <c r="C737" s="25" t="n">
        <f aca="false">MAX(0,Penalty!$B$4-SUMIFS(Penalty!$C$10:$C$12,Penalty!$B$10:$B$12,"&lt;"&amp;A737))</f>
        <v>12000</v>
      </c>
      <c r="D737" s="25" t="n">
        <f aca="false">IF(A737&lt;=Penalty!$B$8,C737+F736+IF(A737&gt;Penalty!$B$19,Penalty!$I$5,0)+G736,0)</f>
        <v>0</v>
      </c>
      <c r="E737" s="26" t="n">
        <f aca="false">D737*B737/365</f>
        <v>0</v>
      </c>
      <c r="F737" s="25" t="n">
        <f aca="false">F736+E737*(1-IF(D737&gt;0,(IF(A737&gt;Penalty!$B$19,Penalty!$I$5,0)+G736)/D737,0))</f>
        <v>345.789278153858</v>
      </c>
      <c r="G737" s="25" t="n">
        <f aca="false">G736+E737*IF(D737&gt;0,(IF(A737&gt;Penalty!$B$19,Penalty!$I$5,0)+G736)/D737,0)</f>
        <v>46.6815525507708</v>
      </c>
    </row>
    <row r="738" customFormat="false" ht="15" hidden="false" customHeight="false" outlineLevel="0" collapsed="false">
      <c r="A738" s="23" t="n">
        <f aca="false">Penalty!$B$5+734</f>
        <v>46861</v>
      </c>
      <c r="B738" s="24" t="n">
        <f aca="false">IF(YEAR(A738)&gt;2026,Penalty!$B$16/100,IFERROR(INDEX(Rates!$B$4:$E$15,MATCH(YEAR(A738),Rates!$A$4:$A$15,0),ROUNDUP(MONTH(A738)/3,0))/100,0.03))</f>
        <v>0.07</v>
      </c>
      <c r="C738" s="25" t="n">
        <f aca="false">MAX(0,Penalty!$B$4-SUMIFS(Penalty!$C$10:$C$12,Penalty!$B$10:$B$12,"&lt;"&amp;A738))</f>
        <v>12000</v>
      </c>
      <c r="D738" s="25" t="n">
        <f aca="false">IF(A738&lt;=Penalty!$B$8,C738+F737+IF(A738&gt;Penalty!$B$19,Penalty!$I$5,0)+G737,0)</f>
        <v>0</v>
      </c>
      <c r="E738" s="26" t="n">
        <f aca="false">D738*B738/365</f>
        <v>0</v>
      </c>
      <c r="F738" s="25" t="n">
        <f aca="false">F737+E738*(1-IF(D738&gt;0,(IF(A738&gt;Penalty!$B$19,Penalty!$I$5,0)+G737)/D738,0))</f>
        <v>345.789278153858</v>
      </c>
      <c r="G738" s="25" t="n">
        <f aca="false">G737+E738*IF(D738&gt;0,(IF(A738&gt;Penalty!$B$19,Penalty!$I$5,0)+G737)/D738,0)</f>
        <v>46.6815525507708</v>
      </c>
    </row>
    <row r="739" customFormat="false" ht="15" hidden="false" customHeight="false" outlineLevel="0" collapsed="false">
      <c r="A739" s="23" t="n">
        <f aca="false">Penalty!$B$5+735</f>
        <v>46862</v>
      </c>
      <c r="B739" s="24" t="n">
        <f aca="false">IF(YEAR(A739)&gt;2026,Penalty!$B$16/100,IFERROR(INDEX(Rates!$B$4:$E$15,MATCH(YEAR(A739),Rates!$A$4:$A$15,0),ROUNDUP(MONTH(A739)/3,0))/100,0.03))</f>
        <v>0.07</v>
      </c>
      <c r="C739" s="25" t="n">
        <f aca="false">MAX(0,Penalty!$B$4-SUMIFS(Penalty!$C$10:$C$12,Penalty!$B$10:$B$12,"&lt;"&amp;A739))</f>
        <v>12000</v>
      </c>
      <c r="D739" s="25" t="n">
        <f aca="false">IF(A739&lt;=Penalty!$B$8,C739+F738+IF(A739&gt;Penalty!$B$19,Penalty!$I$5,0)+G738,0)</f>
        <v>0</v>
      </c>
      <c r="E739" s="26" t="n">
        <f aca="false">D739*B739/365</f>
        <v>0</v>
      </c>
      <c r="F739" s="25" t="n">
        <f aca="false">F738+E739*(1-IF(D739&gt;0,(IF(A739&gt;Penalty!$B$19,Penalty!$I$5,0)+G738)/D739,0))</f>
        <v>345.789278153858</v>
      </c>
      <c r="G739" s="25" t="n">
        <f aca="false">G738+E739*IF(D739&gt;0,(IF(A739&gt;Penalty!$B$19,Penalty!$I$5,0)+G738)/D739,0)</f>
        <v>46.6815525507708</v>
      </c>
    </row>
    <row r="740" customFormat="false" ht="15" hidden="false" customHeight="false" outlineLevel="0" collapsed="false">
      <c r="A740" s="23" t="n">
        <f aca="false">Penalty!$B$5+736</f>
        <v>46863</v>
      </c>
      <c r="B740" s="24" t="n">
        <f aca="false">IF(YEAR(A740)&gt;2026,Penalty!$B$16/100,IFERROR(INDEX(Rates!$B$4:$E$15,MATCH(YEAR(A740),Rates!$A$4:$A$15,0),ROUNDUP(MONTH(A740)/3,0))/100,0.03))</f>
        <v>0.07</v>
      </c>
      <c r="C740" s="25" t="n">
        <f aca="false">MAX(0,Penalty!$B$4-SUMIFS(Penalty!$C$10:$C$12,Penalty!$B$10:$B$12,"&lt;"&amp;A740))</f>
        <v>12000</v>
      </c>
      <c r="D740" s="25" t="n">
        <f aca="false">IF(A740&lt;=Penalty!$B$8,C740+F739+IF(A740&gt;Penalty!$B$19,Penalty!$I$5,0)+G739,0)</f>
        <v>0</v>
      </c>
      <c r="E740" s="26" t="n">
        <f aca="false">D740*B740/365</f>
        <v>0</v>
      </c>
      <c r="F740" s="25" t="n">
        <f aca="false">F739+E740*(1-IF(D740&gt;0,(IF(A740&gt;Penalty!$B$19,Penalty!$I$5,0)+G739)/D740,0))</f>
        <v>345.789278153858</v>
      </c>
      <c r="G740" s="25" t="n">
        <f aca="false">G739+E740*IF(D740&gt;0,(IF(A740&gt;Penalty!$B$19,Penalty!$I$5,0)+G739)/D740,0)</f>
        <v>46.6815525507708</v>
      </c>
    </row>
    <row r="741" customFormat="false" ht="15" hidden="false" customHeight="false" outlineLevel="0" collapsed="false">
      <c r="A741" s="23" t="n">
        <f aca="false">Penalty!$B$5+737</f>
        <v>46864</v>
      </c>
      <c r="B741" s="24" t="n">
        <f aca="false">IF(YEAR(A741)&gt;2026,Penalty!$B$16/100,IFERROR(INDEX(Rates!$B$4:$E$15,MATCH(YEAR(A741),Rates!$A$4:$A$15,0),ROUNDUP(MONTH(A741)/3,0))/100,0.03))</f>
        <v>0.07</v>
      </c>
      <c r="C741" s="25" t="n">
        <f aca="false">MAX(0,Penalty!$B$4-SUMIFS(Penalty!$C$10:$C$12,Penalty!$B$10:$B$12,"&lt;"&amp;A741))</f>
        <v>12000</v>
      </c>
      <c r="D741" s="25" t="n">
        <f aca="false">IF(A741&lt;=Penalty!$B$8,C741+F740+IF(A741&gt;Penalty!$B$19,Penalty!$I$5,0)+G740,0)</f>
        <v>0</v>
      </c>
      <c r="E741" s="26" t="n">
        <f aca="false">D741*B741/365</f>
        <v>0</v>
      </c>
      <c r="F741" s="25" t="n">
        <f aca="false">F740+E741*(1-IF(D741&gt;0,(IF(A741&gt;Penalty!$B$19,Penalty!$I$5,0)+G740)/D741,0))</f>
        <v>345.789278153858</v>
      </c>
      <c r="G741" s="25" t="n">
        <f aca="false">G740+E741*IF(D741&gt;0,(IF(A741&gt;Penalty!$B$19,Penalty!$I$5,0)+G740)/D741,0)</f>
        <v>46.6815525507708</v>
      </c>
    </row>
    <row r="742" customFormat="false" ht="15" hidden="false" customHeight="false" outlineLevel="0" collapsed="false">
      <c r="A742" s="23" t="n">
        <f aca="false">Penalty!$B$5+738</f>
        <v>46865</v>
      </c>
      <c r="B742" s="24" t="n">
        <f aca="false">IF(YEAR(A742)&gt;2026,Penalty!$B$16/100,IFERROR(INDEX(Rates!$B$4:$E$15,MATCH(YEAR(A742),Rates!$A$4:$A$15,0),ROUNDUP(MONTH(A742)/3,0))/100,0.03))</f>
        <v>0.07</v>
      </c>
      <c r="C742" s="25" t="n">
        <f aca="false">MAX(0,Penalty!$B$4-SUMIFS(Penalty!$C$10:$C$12,Penalty!$B$10:$B$12,"&lt;"&amp;A742))</f>
        <v>12000</v>
      </c>
      <c r="D742" s="25" t="n">
        <f aca="false">IF(A742&lt;=Penalty!$B$8,C742+F741+IF(A742&gt;Penalty!$B$19,Penalty!$I$5,0)+G741,0)</f>
        <v>0</v>
      </c>
      <c r="E742" s="26" t="n">
        <f aca="false">D742*B742/365</f>
        <v>0</v>
      </c>
      <c r="F742" s="25" t="n">
        <f aca="false">F741+E742*(1-IF(D742&gt;0,(IF(A742&gt;Penalty!$B$19,Penalty!$I$5,0)+G741)/D742,0))</f>
        <v>345.789278153858</v>
      </c>
      <c r="G742" s="25" t="n">
        <f aca="false">G741+E742*IF(D742&gt;0,(IF(A742&gt;Penalty!$B$19,Penalty!$I$5,0)+G741)/D742,0)</f>
        <v>46.6815525507708</v>
      </c>
    </row>
    <row r="743" customFormat="false" ht="15" hidden="false" customHeight="false" outlineLevel="0" collapsed="false">
      <c r="A743" s="23" t="n">
        <f aca="false">Penalty!$B$5+739</f>
        <v>46866</v>
      </c>
      <c r="B743" s="24" t="n">
        <f aca="false">IF(YEAR(A743)&gt;2026,Penalty!$B$16/100,IFERROR(INDEX(Rates!$B$4:$E$15,MATCH(YEAR(A743),Rates!$A$4:$A$15,0),ROUNDUP(MONTH(A743)/3,0))/100,0.03))</f>
        <v>0.07</v>
      </c>
      <c r="C743" s="25" t="n">
        <f aca="false">MAX(0,Penalty!$B$4-SUMIFS(Penalty!$C$10:$C$12,Penalty!$B$10:$B$12,"&lt;"&amp;A743))</f>
        <v>12000</v>
      </c>
      <c r="D743" s="25" t="n">
        <f aca="false">IF(A743&lt;=Penalty!$B$8,C743+F742+IF(A743&gt;Penalty!$B$19,Penalty!$I$5,0)+G742,0)</f>
        <v>0</v>
      </c>
      <c r="E743" s="26" t="n">
        <f aca="false">D743*B743/365</f>
        <v>0</v>
      </c>
      <c r="F743" s="25" t="n">
        <f aca="false">F742+E743*(1-IF(D743&gt;0,(IF(A743&gt;Penalty!$B$19,Penalty!$I$5,0)+G742)/D743,0))</f>
        <v>345.789278153858</v>
      </c>
      <c r="G743" s="25" t="n">
        <f aca="false">G742+E743*IF(D743&gt;0,(IF(A743&gt;Penalty!$B$19,Penalty!$I$5,0)+G742)/D743,0)</f>
        <v>46.6815525507708</v>
      </c>
    </row>
    <row r="744" customFormat="false" ht="15" hidden="false" customHeight="false" outlineLevel="0" collapsed="false">
      <c r="A744" s="23" t="n">
        <f aca="false">Penalty!$B$5+740</f>
        <v>46867</v>
      </c>
      <c r="B744" s="24" t="n">
        <f aca="false">IF(YEAR(A744)&gt;2026,Penalty!$B$16/100,IFERROR(INDEX(Rates!$B$4:$E$15,MATCH(YEAR(A744),Rates!$A$4:$A$15,0),ROUNDUP(MONTH(A744)/3,0))/100,0.03))</f>
        <v>0.07</v>
      </c>
      <c r="C744" s="25" t="n">
        <f aca="false">MAX(0,Penalty!$B$4-SUMIFS(Penalty!$C$10:$C$12,Penalty!$B$10:$B$12,"&lt;"&amp;A744))</f>
        <v>12000</v>
      </c>
      <c r="D744" s="25" t="n">
        <f aca="false">IF(A744&lt;=Penalty!$B$8,C744+F743+IF(A744&gt;Penalty!$B$19,Penalty!$I$5,0)+G743,0)</f>
        <v>0</v>
      </c>
      <c r="E744" s="26" t="n">
        <f aca="false">D744*B744/365</f>
        <v>0</v>
      </c>
      <c r="F744" s="25" t="n">
        <f aca="false">F743+E744*(1-IF(D744&gt;0,(IF(A744&gt;Penalty!$B$19,Penalty!$I$5,0)+G743)/D744,0))</f>
        <v>345.789278153858</v>
      </c>
      <c r="G744" s="25" t="n">
        <f aca="false">G743+E744*IF(D744&gt;0,(IF(A744&gt;Penalty!$B$19,Penalty!$I$5,0)+G743)/D744,0)</f>
        <v>46.6815525507708</v>
      </c>
    </row>
    <row r="745" customFormat="false" ht="15" hidden="false" customHeight="false" outlineLevel="0" collapsed="false">
      <c r="A745" s="23" t="n">
        <f aca="false">Penalty!$B$5+741</f>
        <v>46868</v>
      </c>
      <c r="B745" s="24" t="n">
        <f aca="false">IF(YEAR(A745)&gt;2026,Penalty!$B$16/100,IFERROR(INDEX(Rates!$B$4:$E$15,MATCH(YEAR(A745),Rates!$A$4:$A$15,0),ROUNDUP(MONTH(A745)/3,0))/100,0.03))</f>
        <v>0.07</v>
      </c>
      <c r="C745" s="25" t="n">
        <f aca="false">MAX(0,Penalty!$B$4-SUMIFS(Penalty!$C$10:$C$12,Penalty!$B$10:$B$12,"&lt;"&amp;A745))</f>
        <v>12000</v>
      </c>
      <c r="D745" s="25" t="n">
        <f aca="false">IF(A745&lt;=Penalty!$B$8,C745+F744+IF(A745&gt;Penalty!$B$19,Penalty!$I$5,0)+G744,0)</f>
        <v>0</v>
      </c>
      <c r="E745" s="26" t="n">
        <f aca="false">D745*B745/365</f>
        <v>0</v>
      </c>
      <c r="F745" s="25" t="n">
        <f aca="false">F744+E745*(1-IF(D745&gt;0,(IF(A745&gt;Penalty!$B$19,Penalty!$I$5,0)+G744)/D745,0))</f>
        <v>345.789278153858</v>
      </c>
      <c r="G745" s="25" t="n">
        <f aca="false">G744+E745*IF(D745&gt;0,(IF(A745&gt;Penalty!$B$19,Penalty!$I$5,0)+G744)/D745,0)</f>
        <v>46.6815525507708</v>
      </c>
    </row>
    <row r="746" customFormat="false" ht="15" hidden="false" customHeight="false" outlineLevel="0" collapsed="false">
      <c r="A746" s="23" t="n">
        <f aca="false">Penalty!$B$5+742</f>
        <v>46869</v>
      </c>
      <c r="B746" s="24" t="n">
        <f aca="false">IF(YEAR(A746)&gt;2026,Penalty!$B$16/100,IFERROR(INDEX(Rates!$B$4:$E$15,MATCH(YEAR(A746),Rates!$A$4:$A$15,0),ROUNDUP(MONTH(A746)/3,0))/100,0.03))</f>
        <v>0.07</v>
      </c>
      <c r="C746" s="25" t="n">
        <f aca="false">MAX(0,Penalty!$B$4-SUMIFS(Penalty!$C$10:$C$12,Penalty!$B$10:$B$12,"&lt;"&amp;A746))</f>
        <v>12000</v>
      </c>
      <c r="D746" s="25" t="n">
        <f aca="false">IF(A746&lt;=Penalty!$B$8,C746+F745+IF(A746&gt;Penalty!$B$19,Penalty!$I$5,0)+G745,0)</f>
        <v>0</v>
      </c>
      <c r="E746" s="26" t="n">
        <f aca="false">D746*B746/365</f>
        <v>0</v>
      </c>
      <c r="F746" s="25" t="n">
        <f aca="false">F745+E746*(1-IF(D746&gt;0,(IF(A746&gt;Penalty!$B$19,Penalty!$I$5,0)+G745)/D746,0))</f>
        <v>345.789278153858</v>
      </c>
      <c r="G746" s="25" t="n">
        <f aca="false">G745+E746*IF(D746&gt;0,(IF(A746&gt;Penalty!$B$19,Penalty!$I$5,0)+G745)/D746,0)</f>
        <v>46.6815525507708</v>
      </c>
    </row>
    <row r="747" customFormat="false" ht="15" hidden="false" customHeight="false" outlineLevel="0" collapsed="false">
      <c r="A747" s="23" t="n">
        <f aca="false">Penalty!$B$5+743</f>
        <v>46870</v>
      </c>
      <c r="B747" s="24" t="n">
        <f aca="false">IF(YEAR(A747)&gt;2026,Penalty!$B$16/100,IFERROR(INDEX(Rates!$B$4:$E$15,MATCH(YEAR(A747),Rates!$A$4:$A$15,0),ROUNDUP(MONTH(A747)/3,0))/100,0.03))</f>
        <v>0.07</v>
      </c>
      <c r="C747" s="25" t="n">
        <f aca="false">MAX(0,Penalty!$B$4-SUMIFS(Penalty!$C$10:$C$12,Penalty!$B$10:$B$12,"&lt;"&amp;A747))</f>
        <v>12000</v>
      </c>
      <c r="D747" s="25" t="n">
        <f aca="false">IF(A747&lt;=Penalty!$B$8,C747+F746+IF(A747&gt;Penalty!$B$19,Penalty!$I$5,0)+G746,0)</f>
        <v>0</v>
      </c>
      <c r="E747" s="26" t="n">
        <f aca="false">D747*B747/365</f>
        <v>0</v>
      </c>
      <c r="F747" s="25" t="n">
        <f aca="false">F746+E747*(1-IF(D747&gt;0,(IF(A747&gt;Penalty!$B$19,Penalty!$I$5,0)+G746)/D747,0))</f>
        <v>345.789278153858</v>
      </c>
      <c r="G747" s="25" t="n">
        <f aca="false">G746+E747*IF(D747&gt;0,(IF(A747&gt;Penalty!$B$19,Penalty!$I$5,0)+G746)/D747,0)</f>
        <v>46.6815525507708</v>
      </c>
    </row>
    <row r="748" customFormat="false" ht="15" hidden="false" customHeight="false" outlineLevel="0" collapsed="false">
      <c r="A748" s="23" t="n">
        <f aca="false">Penalty!$B$5+744</f>
        <v>46871</v>
      </c>
      <c r="B748" s="24" t="n">
        <f aca="false">IF(YEAR(A748)&gt;2026,Penalty!$B$16/100,IFERROR(INDEX(Rates!$B$4:$E$15,MATCH(YEAR(A748),Rates!$A$4:$A$15,0),ROUNDUP(MONTH(A748)/3,0))/100,0.03))</f>
        <v>0.07</v>
      </c>
      <c r="C748" s="25" t="n">
        <f aca="false">MAX(0,Penalty!$B$4-SUMIFS(Penalty!$C$10:$C$12,Penalty!$B$10:$B$12,"&lt;"&amp;A748))</f>
        <v>12000</v>
      </c>
      <c r="D748" s="25" t="n">
        <f aca="false">IF(A748&lt;=Penalty!$B$8,C748+F747+IF(A748&gt;Penalty!$B$19,Penalty!$I$5,0)+G747,0)</f>
        <v>0</v>
      </c>
      <c r="E748" s="26" t="n">
        <f aca="false">D748*B748/365</f>
        <v>0</v>
      </c>
      <c r="F748" s="25" t="n">
        <f aca="false">F747+E748*(1-IF(D748&gt;0,(IF(A748&gt;Penalty!$B$19,Penalty!$I$5,0)+G747)/D748,0))</f>
        <v>345.789278153858</v>
      </c>
      <c r="G748" s="25" t="n">
        <f aca="false">G747+E748*IF(D748&gt;0,(IF(A748&gt;Penalty!$B$19,Penalty!$I$5,0)+G747)/D748,0)</f>
        <v>46.6815525507708</v>
      </c>
    </row>
    <row r="749" customFormat="false" ht="15" hidden="false" customHeight="false" outlineLevel="0" collapsed="false">
      <c r="A749" s="23" t="n">
        <f aca="false">Penalty!$B$5+745</f>
        <v>46872</v>
      </c>
      <c r="B749" s="24" t="n">
        <f aca="false">IF(YEAR(A749)&gt;2026,Penalty!$B$16/100,IFERROR(INDEX(Rates!$B$4:$E$15,MATCH(YEAR(A749),Rates!$A$4:$A$15,0),ROUNDUP(MONTH(A749)/3,0))/100,0.03))</f>
        <v>0.07</v>
      </c>
      <c r="C749" s="25" t="n">
        <f aca="false">MAX(0,Penalty!$B$4-SUMIFS(Penalty!$C$10:$C$12,Penalty!$B$10:$B$12,"&lt;"&amp;A749))</f>
        <v>12000</v>
      </c>
      <c r="D749" s="25" t="n">
        <f aca="false">IF(A749&lt;=Penalty!$B$8,C749+F748+IF(A749&gt;Penalty!$B$19,Penalty!$I$5,0)+G748,0)</f>
        <v>0</v>
      </c>
      <c r="E749" s="26" t="n">
        <f aca="false">D749*B749/365</f>
        <v>0</v>
      </c>
      <c r="F749" s="25" t="n">
        <f aca="false">F748+E749*(1-IF(D749&gt;0,(IF(A749&gt;Penalty!$B$19,Penalty!$I$5,0)+G748)/D749,0))</f>
        <v>345.789278153858</v>
      </c>
      <c r="G749" s="25" t="n">
        <f aca="false">G748+E749*IF(D749&gt;0,(IF(A749&gt;Penalty!$B$19,Penalty!$I$5,0)+G748)/D749,0)</f>
        <v>46.6815525507708</v>
      </c>
    </row>
    <row r="750" customFormat="false" ht="15" hidden="false" customHeight="false" outlineLevel="0" collapsed="false">
      <c r="A750" s="23" t="n">
        <f aca="false">Penalty!$B$5+746</f>
        <v>46873</v>
      </c>
      <c r="B750" s="24" t="n">
        <f aca="false">IF(YEAR(A750)&gt;2026,Penalty!$B$16/100,IFERROR(INDEX(Rates!$B$4:$E$15,MATCH(YEAR(A750),Rates!$A$4:$A$15,0),ROUNDUP(MONTH(A750)/3,0))/100,0.03))</f>
        <v>0.07</v>
      </c>
      <c r="C750" s="25" t="n">
        <f aca="false">MAX(0,Penalty!$B$4-SUMIFS(Penalty!$C$10:$C$12,Penalty!$B$10:$B$12,"&lt;"&amp;A750))</f>
        <v>12000</v>
      </c>
      <c r="D750" s="25" t="n">
        <f aca="false">IF(A750&lt;=Penalty!$B$8,C750+F749+IF(A750&gt;Penalty!$B$19,Penalty!$I$5,0)+G749,0)</f>
        <v>0</v>
      </c>
      <c r="E750" s="26" t="n">
        <f aca="false">D750*B750/365</f>
        <v>0</v>
      </c>
      <c r="F750" s="25" t="n">
        <f aca="false">F749+E750*(1-IF(D750&gt;0,(IF(A750&gt;Penalty!$B$19,Penalty!$I$5,0)+G749)/D750,0))</f>
        <v>345.789278153858</v>
      </c>
      <c r="G750" s="25" t="n">
        <f aca="false">G749+E750*IF(D750&gt;0,(IF(A750&gt;Penalty!$B$19,Penalty!$I$5,0)+G749)/D750,0)</f>
        <v>46.6815525507708</v>
      </c>
    </row>
    <row r="751" customFormat="false" ht="15" hidden="false" customHeight="false" outlineLevel="0" collapsed="false">
      <c r="A751" s="23" t="n">
        <f aca="false">Penalty!$B$5+747</f>
        <v>46874</v>
      </c>
      <c r="B751" s="24" t="n">
        <f aca="false">IF(YEAR(A751)&gt;2026,Penalty!$B$16/100,IFERROR(INDEX(Rates!$B$4:$E$15,MATCH(YEAR(A751),Rates!$A$4:$A$15,0),ROUNDUP(MONTH(A751)/3,0))/100,0.03))</f>
        <v>0.07</v>
      </c>
      <c r="C751" s="25" t="n">
        <f aca="false">MAX(0,Penalty!$B$4-SUMIFS(Penalty!$C$10:$C$12,Penalty!$B$10:$B$12,"&lt;"&amp;A751))</f>
        <v>12000</v>
      </c>
      <c r="D751" s="25" t="n">
        <f aca="false">IF(A751&lt;=Penalty!$B$8,C751+F750+IF(A751&gt;Penalty!$B$19,Penalty!$I$5,0)+G750,0)</f>
        <v>0</v>
      </c>
      <c r="E751" s="26" t="n">
        <f aca="false">D751*B751/365</f>
        <v>0</v>
      </c>
      <c r="F751" s="25" t="n">
        <f aca="false">F750+E751*(1-IF(D751&gt;0,(IF(A751&gt;Penalty!$B$19,Penalty!$I$5,0)+G750)/D751,0))</f>
        <v>345.789278153858</v>
      </c>
      <c r="G751" s="25" t="n">
        <f aca="false">G750+E751*IF(D751&gt;0,(IF(A751&gt;Penalty!$B$19,Penalty!$I$5,0)+G750)/D751,0)</f>
        <v>46.6815525507708</v>
      </c>
    </row>
    <row r="752" customFormat="false" ht="15" hidden="false" customHeight="false" outlineLevel="0" collapsed="false">
      <c r="A752" s="23" t="n">
        <f aca="false">Penalty!$B$5+748</f>
        <v>46875</v>
      </c>
      <c r="B752" s="24" t="n">
        <f aca="false">IF(YEAR(A752)&gt;2026,Penalty!$B$16/100,IFERROR(INDEX(Rates!$B$4:$E$15,MATCH(YEAR(A752),Rates!$A$4:$A$15,0),ROUNDUP(MONTH(A752)/3,0))/100,0.03))</f>
        <v>0.07</v>
      </c>
      <c r="C752" s="25" t="n">
        <f aca="false">MAX(0,Penalty!$B$4-SUMIFS(Penalty!$C$10:$C$12,Penalty!$B$10:$B$12,"&lt;"&amp;A752))</f>
        <v>12000</v>
      </c>
      <c r="D752" s="25" t="n">
        <f aca="false">IF(A752&lt;=Penalty!$B$8,C752+F751+IF(A752&gt;Penalty!$B$19,Penalty!$I$5,0)+G751,0)</f>
        <v>0</v>
      </c>
      <c r="E752" s="26" t="n">
        <f aca="false">D752*B752/365</f>
        <v>0</v>
      </c>
      <c r="F752" s="25" t="n">
        <f aca="false">F751+E752*(1-IF(D752&gt;0,(IF(A752&gt;Penalty!$B$19,Penalty!$I$5,0)+G751)/D752,0))</f>
        <v>345.789278153858</v>
      </c>
      <c r="G752" s="25" t="n">
        <f aca="false">G751+E752*IF(D752&gt;0,(IF(A752&gt;Penalty!$B$19,Penalty!$I$5,0)+G751)/D752,0)</f>
        <v>46.6815525507708</v>
      </c>
    </row>
    <row r="753" customFormat="false" ht="15" hidden="false" customHeight="false" outlineLevel="0" collapsed="false">
      <c r="A753" s="23" t="n">
        <f aca="false">Penalty!$B$5+749</f>
        <v>46876</v>
      </c>
      <c r="B753" s="24" t="n">
        <f aca="false">IF(YEAR(A753)&gt;2026,Penalty!$B$16/100,IFERROR(INDEX(Rates!$B$4:$E$15,MATCH(YEAR(A753),Rates!$A$4:$A$15,0),ROUNDUP(MONTH(A753)/3,0))/100,0.03))</f>
        <v>0.07</v>
      </c>
      <c r="C753" s="25" t="n">
        <f aca="false">MAX(0,Penalty!$B$4-SUMIFS(Penalty!$C$10:$C$12,Penalty!$B$10:$B$12,"&lt;"&amp;A753))</f>
        <v>12000</v>
      </c>
      <c r="D753" s="25" t="n">
        <f aca="false">IF(A753&lt;=Penalty!$B$8,C753+F752+IF(A753&gt;Penalty!$B$19,Penalty!$I$5,0)+G752,0)</f>
        <v>0</v>
      </c>
      <c r="E753" s="26" t="n">
        <f aca="false">D753*B753/365</f>
        <v>0</v>
      </c>
      <c r="F753" s="25" t="n">
        <f aca="false">F752+E753*(1-IF(D753&gt;0,(IF(A753&gt;Penalty!$B$19,Penalty!$I$5,0)+G752)/D753,0))</f>
        <v>345.789278153858</v>
      </c>
      <c r="G753" s="25" t="n">
        <f aca="false">G752+E753*IF(D753&gt;0,(IF(A753&gt;Penalty!$B$19,Penalty!$I$5,0)+G752)/D753,0)</f>
        <v>46.6815525507708</v>
      </c>
    </row>
    <row r="754" customFormat="false" ht="15" hidden="false" customHeight="false" outlineLevel="0" collapsed="false">
      <c r="A754" s="23" t="n">
        <f aca="false">Penalty!$B$5+750</f>
        <v>46877</v>
      </c>
      <c r="B754" s="24" t="n">
        <f aca="false">IF(YEAR(A754)&gt;2026,Penalty!$B$16/100,IFERROR(INDEX(Rates!$B$4:$E$15,MATCH(YEAR(A754),Rates!$A$4:$A$15,0),ROUNDUP(MONTH(A754)/3,0))/100,0.03))</f>
        <v>0.07</v>
      </c>
      <c r="C754" s="25" t="n">
        <f aca="false">MAX(0,Penalty!$B$4-SUMIFS(Penalty!$C$10:$C$12,Penalty!$B$10:$B$12,"&lt;"&amp;A754))</f>
        <v>12000</v>
      </c>
      <c r="D754" s="25" t="n">
        <f aca="false">IF(A754&lt;=Penalty!$B$8,C754+F753+IF(A754&gt;Penalty!$B$19,Penalty!$I$5,0)+G753,0)</f>
        <v>0</v>
      </c>
      <c r="E754" s="26" t="n">
        <f aca="false">D754*B754/365</f>
        <v>0</v>
      </c>
      <c r="F754" s="25" t="n">
        <f aca="false">F753+E754*(1-IF(D754&gt;0,(IF(A754&gt;Penalty!$B$19,Penalty!$I$5,0)+G753)/D754,0))</f>
        <v>345.789278153858</v>
      </c>
      <c r="G754" s="25" t="n">
        <f aca="false">G753+E754*IF(D754&gt;0,(IF(A754&gt;Penalty!$B$19,Penalty!$I$5,0)+G753)/D754,0)</f>
        <v>46.6815525507708</v>
      </c>
    </row>
    <row r="755" customFormat="false" ht="15" hidden="false" customHeight="false" outlineLevel="0" collapsed="false">
      <c r="A755" s="23" t="n">
        <f aca="false">Penalty!$B$5+751</f>
        <v>46878</v>
      </c>
      <c r="B755" s="24" t="n">
        <f aca="false">IF(YEAR(A755)&gt;2026,Penalty!$B$16/100,IFERROR(INDEX(Rates!$B$4:$E$15,MATCH(YEAR(A755),Rates!$A$4:$A$15,0),ROUNDUP(MONTH(A755)/3,0))/100,0.03))</f>
        <v>0.07</v>
      </c>
      <c r="C755" s="25" t="n">
        <f aca="false">MAX(0,Penalty!$B$4-SUMIFS(Penalty!$C$10:$C$12,Penalty!$B$10:$B$12,"&lt;"&amp;A755))</f>
        <v>12000</v>
      </c>
      <c r="D755" s="25" t="n">
        <f aca="false">IF(A755&lt;=Penalty!$B$8,C755+F754+IF(A755&gt;Penalty!$B$19,Penalty!$I$5,0)+G754,0)</f>
        <v>0</v>
      </c>
      <c r="E755" s="26" t="n">
        <f aca="false">D755*B755/365</f>
        <v>0</v>
      </c>
      <c r="F755" s="25" t="n">
        <f aca="false">F754+E755*(1-IF(D755&gt;0,(IF(A755&gt;Penalty!$B$19,Penalty!$I$5,0)+G754)/D755,0))</f>
        <v>345.789278153858</v>
      </c>
      <c r="G755" s="25" t="n">
        <f aca="false">G754+E755*IF(D755&gt;0,(IF(A755&gt;Penalty!$B$19,Penalty!$I$5,0)+G754)/D755,0)</f>
        <v>46.6815525507708</v>
      </c>
    </row>
    <row r="756" customFormat="false" ht="15" hidden="false" customHeight="false" outlineLevel="0" collapsed="false">
      <c r="A756" s="23" t="n">
        <f aca="false">Penalty!$B$5+752</f>
        <v>46879</v>
      </c>
      <c r="B756" s="24" t="n">
        <f aca="false">IF(YEAR(A756)&gt;2026,Penalty!$B$16/100,IFERROR(INDEX(Rates!$B$4:$E$15,MATCH(YEAR(A756),Rates!$A$4:$A$15,0),ROUNDUP(MONTH(A756)/3,0))/100,0.03))</f>
        <v>0.07</v>
      </c>
      <c r="C756" s="25" t="n">
        <f aca="false">MAX(0,Penalty!$B$4-SUMIFS(Penalty!$C$10:$C$12,Penalty!$B$10:$B$12,"&lt;"&amp;A756))</f>
        <v>12000</v>
      </c>
      <c r="D756" s="25" t="n">
        <f aca="false">IF(A756&lt;=Penalty!$B$8,C756+F755+IF(A756&gt;Penalty!$B$19,Penalty!$I$5,0)+G755,0)</f>
        <v>0</v>
      </c>
      <c r="E756" s="26" t="n">
        <f aca="false">D756*B756/365</f>
        <v>0</v>
      </c>
      <c r="F756" s="25" t="n">
        <f aca="false">F755+E756*(1-IF(D756&gt;0,(IF(A756&gt;Penalty!$B$19,Penalty!$I$5,0)+G755)/D756,0))</f>
        <v>345.789278153858</v>
      </c>
      <c r="G756" s="25" t="n">
        <f aca="false">G755+E756*IF(D756&gt;0,(IF(A756&gt;Penalty!$B$19,Penalty!$I$5,0)+G755)/D756,0)</f>
        <v>46.6815525507708</v>
      </c>
    </row>
    <row r="757" customFormat="false" ht="15" hidden="false" customHeight="false" outlineLevel="0" collapsed="false">
      <c r="A757" s="23" t="n">
        <f aca="false">Penalty!$B$5+753</f>
        <v>46880</v>
      </c>
      <c r="B757" s="24" t="n">
        <f aca="false">IF(YEAR(A757)&gt;2026,Penalty!$B$16/100,IFERROR(INDEX(Rates!$B$4:$E$15,MATCH(YEAR(A757),Rates!$A$4:$A$15,0),ROUNDUP(MONTH(A757)/3,0))/100,0.03))</f>
        <v>0.07</v>
      </c>
      <c r="C757" s="25" t="n">
        <f aca="false">MAX(0,Penalty!$B$4-SUMIFS(Penalty!$C$10:$C$12,Penalty!$B$10:$B$12,"&lt;"&amp;A757))</f>
        <v>12000</v>
      </c>
      <c r="D757" s="25" t="n">
        <f aca="false">IF(A757&lt;=Penalty!$B$8,C757+F756+IF(A757&gt;Penalty!$B$19,Penalty!$I$5,0)+G756,0)</f>
        <v>0</v>
      </c>
      <c r="E757" s="26" t="n">
        <f aca="false">D757*B757/365</f>
        <v>0</v>
      </c>
      <c r="F757" s="25" t="n">
        <f aca="false">F756+E757*(1-IF(D757&gt;0,(IF(A757&gt;Penalty!$B$19,Penalty!$I$5,0)+G756)/D757,0))</f>
        <v>345.789278153858</v>
      </c>
      <c r="G757" s="25" t="n">
        <f aca="false">G756+E757*IF(D757&gt;0,(IF(A757&gt;Penalty!$B$19,Penalty!$I$5,0)+G756)/D757,0)</f>
        <v>46.6815525507708</v>
      </c>
    </row>
    <row r="758" customFormat="false" ht="15" hidden="false" customHeight="false" outlineLevel="0" collapsed="false">
      <c r="A758" s="23" t="n">
        <f aca="false">Penalty!$B$5+754</f>
        <v>46881</v>
      </c>
      <c r="B758" s="24" t="n">
        <f aca="false">IF(YEAR(A758)&gt;2026,Penalty!$B$16/100,IFERROR(INDEX(Rates!$B$4:$E$15,MATCH(YEAR(A758),Rates!$A$4:$A$15,0),ROUNDUP(MONTH(A758)/3,0))/100,0.03))</f>
        <v>0.07</v>
      </c>
      <c r="C758" s="25" t="n">
        <f aca="false">MAX(0,Penalty!$B$4-SUMIFS(Penalty!$C$10:$C$12,Penalty!$B$10:$B$12,"&lt;"&amp;A758))</f>
        <v>12000</v>
      </c>
      <c r="D758" s="25" t="n">
        <f aca="false">IF(A758&lt;=Penalty!$B$8,C758+F757+IF(A758&gt;Penalty!$B$19,Penalty!$I$5,0)+G757,0)</f>
        <v>0</v>
      </c>
      <c r="E758" s="26" t="n">
        <f aca="false">D758*B758/365</f>
        <v>0</v>
      </c>
      <c r="F758" s="25" t="n">
        <f aca="false">F757+E758*(1-IF(D758&gt;0,(IF(A758&gt;Penalty!$B$19,Penalty!$I$5,0)+G757)/D758,0))</f>
        <v>345.789278153858</v>
      </c>
      <c r="G758" s="25" t="n">
        <f aca="false">G757+E758*IF(D758&gt;0,(IF(A758&gt;Penalty!$B$19,Penalty!$I$5,0)+G757)/D758,0)</f>
        <v>46.6815525507708</v>
      </c>
    </row>
    <row r="759" customFormat="false" ht="15" hidden="false" customHeight="false" outlineLevel="0" collapsed="false">
      <c r="A759" s="23" t="n">
        <f aca="false">Penalty!$B$5+755</f>
        <v>46882</v>
      </c>
      <c r="B759" s="24" t="n">
        <f aca="false">IF(YEAR(A759)&gt;2026,Penalty!$B$16/100,IFERROR(INDEX(Rates!$B$4:$E$15,MATCH(YEAR(A759),Rates!$A$4:$A$15,0),ROUNDUP(MONTH(A759)/3,0))/100,0.03))</f>
        <v>0.07</v>
      </c>
      <c r="C759" s="25" t="n">
        <f aca="false">MAX(0,Penalty!$B$4-SUMIFS(Penalty!$C$10:$C$12,Penalty!$B$10:$B$12,"&lt;"&amp;A759))</f>
        <v>12000</v>
      </c>
      <c r="D759" s="25" t="n">
        <f aca="false">IF(A759&lt;=Penalty!$B$8,C759+F758+IF(A759&gt;Penalty!$B$19,Penalty!$I$5,0)+G758,0)</f>
        <v>0</v>
      </c>
      <c r="E759" s="26" t="n">
        <f aca="false">D759*B759/365</f>
        <v>0</v>
      </c>
      <c r="F759" s="25" t="n">
        <f aca="false">F758+E759*(1-IF(D759&gt;0,(IF(A759&gt;Penalty!$B$19,Penalty!$I$5,0)+G758)/D759,0))</f>
        <v>345.789278153858</v>
      </c>
      <c r="G759" s="25" t="n">
        <f aca="false">G758+E759*IF(D759&gt;0,(IF(A759&gt;Penalty!$B$19,Penalty!$I$5,0)+G758)/D759,0)</f>
        <v>46.6815525507708</v>
      </c>
    </row>
    <row r="760" customFormat="false" ht="15" hidden="false" customHeight="false" outlineLevel="0" collapsed="false">
      <c r="A760" s="23" t="n">
        <f aca="false">Penalty!$B$5+756</f>
        <v>46883</v>
      </c>
      <c r="B760" s="24" t="n">
        <f aca="false">IF(YEAR(A760)&gt;2026,Penalty!$B$16/100,IFERROR(INDEX(Rates!$B$4:$E$15,MATCH(YEAR(A760),Rates!$A$4:$A$15,0),ROUNDUP(MONTH(A760)/3,0))/100,0.03))</f>
        <v>0.07</v>
      </c>
      <c r="C760" s="25" t="n">
        <f aca="false">MAX(0,Penalty!$B$4-SUMIFS(Penalty!$C$10:$C$12,Penalty!$B$10:$B$12,"&lt;"&amp;A760))</f>
        <v>12000</v>
      </c>
      <c r="D760" s="25" t="n">
        <f aca="false">IF(A760&lt;=Penalty!$B$8,C760+F759+IF(A760&gt;Penalty!$B$19,Penalty!$I$5,0)+G759,0)</f>
        <v>0</v>
      </c>
      <c r="E760" s="26" t="n">
        <f aca="false">D760*B760/365</f>
        <v>0</v>
      </c>
      <c r="F760" s="25" t="n">
        <f aca="false">F759+E760*(1-IF(D760&gt;0,(IF(A760&gt;Penalty!$B$19,Penalty!$I$5,0)+G759)/D760,0))</f>
        <v>345.789278153858</v>
      </c>
      <c r="G760" s="25" t="n">
        <f aca="false">G759+E760*IF(D760&gt;0,(IF(A760&gt;Penalty!$B$19,Penalty!$I$5,0)+G759)/D760,0)</f>
        <v>46.6815525507708</v>
      </c>
    </row>
    <row r="761" customFormat="false" ht="15" hidden="false" customHeight="false" outlineLevel="0" collapsed="false">
      <c r="A761" s="23" t="n">
        <f aca="false">Penalty!$B$5+757</f>
        <v>46884</v>
      </c>
      <c r="B761" s="24" t="n">
        <f aca="false">IF(YEAR(A761)&gt;2026,Penalty!$B$16/100,IFERROR(INDEX(Rates!$B$4:$E$15,MATCH(YEAR(A761),Rates!$A$4:$A$15,0),ROUNDUP(MONTH(A761)/3,0))/100,0.03))</f>
        <v>0.07</v>
      </c>
      <c r="C761" s="25" t="n">
        <f aca="false">MAX(0,Penalty!$B$4-SUMIFS(Penalty!$C$10:$C$12,Penalty!$B$10:$B$12,"&lt;"&amp;A761))</f>
        <v>12000</v>
      </c>
      <c r="D761" s="25" t="n">
        <f aca="false">IF(A761&lt;=Penalty!$B$8,C761+F760+IF(A761&gt;Penalty!$B$19,Penalty!$I$5,0)+G760,0)</f>
        <v>0</v>
      </c>
      <c r="E761" s="26" t="n">
        <f aca="false">D761*B761/365</f>
        <v>0</v>
      </c>
      <c r="F761" s="25" t="n">
        <f aca="false">F760+E761*(1-IF(D761&gt;0,(IF(A761&gt;Penalty!$B$19,Penalty!$I$5,0)+G760)/D761,0))</f>
        <v>345.789278153858</v>
      </c>
      <c r="G761" s="25" t="n">
        <f aca="false">G760+E761*IF(D761&gt;0,(IF(A761&gt;Penalty!$B$19,Penalty!$I$5,0)+G760)/D761,0)</f>
        <v>46.6815525507708</v>
      </c>
    </row>
    <row r="762" customFormat="false" ht="15" hidden="false" customHeight="false" outlineLevel="0" collapsed="false">
      <c r="A762" s="23" t="n">
        <f aca="false">Penalty!$B$5+758</f>
        <v>46885</v>
      </c>
      <c r="B762" s="24" t="n">
        <f aca="false">IF(YEAR(A762)&gt;2026,Penalty!$B$16/100,IFERROR(INDEX(Rates!$B$4:$E$15,MATCH(YEAR(A762),Rates!$A$4:$A$15,0),ROUNDUP(MONTH(A762)/3,0))/100,0.03))</f>
        <v>0.07</v>
      </c>
      <c r="C762" s="25" t="n">
        <f aca="false">MAX(0,Penalty!$B$4-SUMIFS(Penalty!$C$10:$C$12,Penalty!$B$10:$B$12,"&lt;"&amp;A762))</f>
        <v>12000</v>
      </c>
      <c r="D762" s="25" t="n">
        <f aca="false">IF(A762&lt;=Penalty!$B$8,C762+F761+IF(A762&gt;Penalty!$B$19,Penalty!$I$5,0)+G761,0)</f>
        <v>0</v>
      </c>
      <c r="E762" s="26" t="n">
        <f aca="false">D762*B762/365</f>
        <v>0</v>
      </c>
      <c r="F762" s="25" t="n">
        <f aca="false">F761+E762*(1-IF(D762&gt;0,(IF(A762&gt;Penalty!$B$19,Penalty!$I$5,0)+G761)/D762,0))</f>
        <v>345.789278153858</v>
      </c>
      <c r="G762" s="25" t="n">
        <f aca="false">G761+E762*IF(D762&gt;0,(IF(A762&gt;Penalty!$B$19,Penalty!$I$5,0)+G761)/D762,0)</f>
        <v>46.6815525507708</v>
      </c>
    </row>
    <row r="763" customFormat="false" ht="15" hidden="false" customHeight="false" outlineLevel="0" collapsed="false">
      <c r="A763" s="23" t="n">
        <f aca="false">Penalty!$B$5+759</f>
        <v>46886</v>
      </c>
      <c r="B763" s="24" t="n">
        <f aca="false">IF(YEAR(A763)&gt;2026,Penalty!$B$16/100,IFERROR(INDEX(Rates!$B$4:$E$15,MATCH(YEAR(A763),Rates!$A$4:$A$15,0),ROUNDUP(MONTH(A763)/3,0))/100,0.03))</f>
        <v>0.07</v>
      </c>
      <c r="C763" s="25" t="n">
        <f aca="false">MAX(0,Penalty!$B$4-SUMIFS(Penalty!$C$10:$C$12,Penalty!$B$10:$B$12,"&lt;"&amp;A763))</f>
        <v>12000</v>
      </c>
      <c r="D763" s="25" t="n">
        <f aca="false">IF(A763&lt;=Penalty!$B$8,C763+F762+IF(A763&gt;Penalty!$B$19,Penalty!$I$5,0)+G762,0)</f>
        <v>0</v>
      </c>
      <c r="E763" s="26" t="n">
        <f aca="false">D763*B763/365</f>
        <v>0</v>
      </c>
      <c r="F763" s="25" t="n">
        <f aca="false">F762+E763*(1-IF(D763&gt;0,(IF(A763&gt;Penalty!$B$19,Penalty!$I$5,0)+G762)/D763,0))</f>
        <v>345.789278153858</v>
      </c>
      <c r="G763" s="25" t="n">
        <f aca="false">G762+E763*IF(D763&gt;0,(IF(A763&gt;Penalty!$B$19,Penalty!$I$5,0)+G762)/D763,0)</f>
        <v>46.6815525507708</v>
      </c>
    </row>
    <row r="764" customFormat="false" ht="15" hidden="false" customHeight="false" outlineLevel="0" collapsed="false">
      <c r="A764" s="23" t="n">
        <f aca="false">Penalty!$B$5+760</f>
        <v>46887</v>
      </c>
      <c r="B764" s="24" t="n">
        <f aca="false">IF(YEAR(A764)&gt;2026,Penalty!$B$16/100,IFERROR(INDEX(Rates!$B$4:$E$15,MATCH(YEAR(A764),Rates!$A$4:$A$15,0),ROUNDUP(MONTH(A764)/3,0))/100,0.03))</f>
        <v>0.07</v>
      </c>
      <c r="C764" s="25" t="n">
        <f aca="false">MAX(0,Penalty!$B$4-SUMIFS(Penalty!$C$10:$C$12,Penalty!$B$10:$B$12,"&lt;"&amp;A764))</f>
        <v>12000</v>
      </c>
      <c r="D764" s="25" t="n">
        <f aca="false">IF(A764&lt;=Penalty!$B$8,C764+F763+IF(A764&gt;Penalty!$B$19,Penalty!$I$5,0)+G763,0)</f>
        <v>0</v>
      </c>
      <c r="E764" s="26" t="n">
        <f aca="false">D764*B764/365</f>
        <v>0</v>
      </c>
      <c r="F764" s="25" t="n">
        <f aca="false">F763+E764*(1-IF(D764&gt;0,(IF(A764&gt;Penalty!$B$19,Penalty!$I$5,0)+G763)/D764,0))</f>
        <v>345.789278153858</v>
      </c>
      <c r="G764" s="25" t="n">
        <f aca="false">G763+E764*IF(D764&gt;0,(IF(A764&gt;Penalty!$B$19,Penalty!$I$5,0)+G763)/D764,0)</f>
        <v>46.6815525507708</v>
      </c>
    </row>
    <row r="765" customFormat="false" ht="15" hidden="false" customHeight="false" outlineLevel="0" collapsed="false">
      <c r="A765" s="23" t="n">
        <f aca="false">Penalty!$B$5+761</f>
        <v>46888</v>
      </c>
      <c r="B765" s="24" t="n">
        <f aca="false">IF(YEAR(A765)&gt;2026,Penalty!$B$16/100,IFERROR(INDEX(Rates!$B$4:$E$15,MATCH(YEAR(A765),Rates!$A$4:$A$15,0),ROUNDUP(MONTH(A765)/3,0))/100,0.03))</f>
        <v>0.07</v>
      </c>
      <c r="C765" s="25" t="n">
        <f aca="false">MAX(0,Penalty!$B$4-SUMIFS(Penalty!$C$10:$C$12,Penalty!$B$10:$B$12,"&lt;"&amp;A765))</f>
        <v>12000</v>
      </c>
      <c r="D765" s="25" t="n">
        <f aca="false">IF(A765&lt;=Penalty!$B$8,C765+F764+IF(A765&gt;Penalty!$B$19,Penalty!$I$5,0)+G764,0)</f>
        <v>0</v>
      </c>
      <c r="E765" s="26" t="n">
        <f aca="false">D765*B765/365</f>
        <v>0</v>
      </c>
      <c r="F765" s="25" t="n">
        <f aca="false">F764+E765*(1-IF(D765&gt;0,(IF(A765&gt;Penalty!$B$19,Penalty!$I$5,0)+G764)/D765,0))</f>
        <v>345.789278153858</v>
      </c>
      <c r="G765" s="25" t="n">
        <f aca="false">G764+E765*IF(D765&gt;0,(IF(A765&gt;Penalty!$B$19,Penalty!$I$5,0)+G764)/D765,0)</f>
        <v>46.6815525507708</v>
      </c>
    </row>
    <row r="766" customFormat="false" ht="15" hidden="false" customHeight="false" outlineLevel="0" collapsed="false">
      <c r="A766" s="23" t="n">
        <f aca="false">Penalty!$B$5+762</f>
        <v>46889</v>
      </c>
      <c r="B766" s="24" t="n">
        <f aca="false">IF(YEAR(A766)&gt;2026,Penalty!$B$16/100,IFERROR(INDEX(Rates!$B$4:$E$15,MATCH(YEAR(A766),Rates!$A$4:$A$15,0),ROUNDUP(MONTH(A766)/3,0))/100,0.03))</f>
        <v>0.07</v>
      </c>
      <c r="C766" s="25" t="n">
        <f aca="false">MAX(0,Penalty!$B$4-SUMIFS(Penalty!$C$10:$C$12,Penalty!$B$10:$B$12,"&lt;"&amp;A766))</f>
        <v>12000</v>
      </c>
      <c r="D766" s="25" t="n">
        <f aca="false">IF(A766&lt;=Penalty!$B$8,C766+F765+IF(A766&gt;Penalty!$B$19,Penalty!$I$5,0)+G765,0)</f>
        <v>0</v>
      </c>
      <c r="E766" s="26" t="n">
        <f aca="false">D766*B766/365</f>
        <v>0</v>
      </c>
      <c r="F766" s="25" t="n">
        <f aca="false">F765+E766*(1-IF(D766&gt;0,(IF(A766&gt;Penalty!$B$19,Penalty!$I$5,0)+G765)/D766,0))</f>
        <v>345.789278153858</v>
      </c>
      <c r="G766" s="25" t="n">
        <f aca="false">G765+E766*IF(D766&gt;0,(IF(A766&gt;Penalty!$B$19,Penalty!$I$5,0)+G765)/D766,0)</f>
        <v>46.6815525507708</v>
      </c>
    </row>
    <row r="767" customFormat="false" ht="15" hidden="false" customHeight="false" outlineLevel="0" collapsed="false">
      <c r="A767" s="23" t="n">
        <f aca="false">Penalty!$B$5+763</f>
        <v>46890</v>
      </c>
      <c r="B767" s="24" t="n">
        <f aca="false">IF(YEAR(A767)&gt;2026,Penalty!$B$16/100,IFERROR(INDEX(Rates!$B$4:$E$15,MATCH(YEAR(A767),Rates!$A$4:$A$15,0),ROUNDUP(MONTH(A767)/3,0))/100,0.03))</f>
        <v>0.07</v>
      </c>
      <c r="C767" s="25" t="n">
        <f aca="false">MAX(0,Penalty!$B$4-SUMIFS(Penalty!$C$10:$C$12,Penalty!$B$10:$B$12,"&lt;"&amp;A767))</f>
        <v>12000</v>
      </c>
      <c r="D767" s="25" t="n">
        <f aca="false">IF(A767&lt;=Penalty!$B$8,C767+F766+IF(A767&gt;Penalty!$B$19,Penalty!$I$5,0)+G766,0)</f>
        <v>0</v>
      </c>
      <c r="E767" s="26" t="n">
        <f aca="false">D767*B767/365</f>
        <v>0</v>
      </c>
      <c r="F767" s="25" t="n">
        <f aca="false">F766+E767*(1-IF(D767&gt;0,(IF(A767&gt;Penalty!$B$19,Penalty!$I$5,0)+G766)/D767,0))</f>
        <v>345.789278153858</v>
      </c>
      <c r="G767" s="25" t="n">
        <f aca="false">G766+E767*IF(D767&gt;0,(IF(A767&gt;Penalty!$B$19,Penalty!$I$5,0)+G766)/D767,0)</f>
        <v>46.6815525507708</v>
      </c>
    </row>
    <row r="768" customFormat="false" ht="15" hidden="false" customHeight="false" outlineLevel="0" collapsed="false">
      <c r="A768" s="23" t="n">
        <f aca="false">Penalty!$B$5+764</f>
        <v>46891</v>
      </c>
      <c r="B768" s="24" t="n">
        <f aca="false">IF(YEAR(A768)&gt;2026,Penalty!$B$16/100,IFERROR(INDEX(Rates!$B$4:$E$15,MATCH(YEAR(A768),Rates!$A$4:$A$15,0),ROUNDUP(MONTH(A768)/3,0))/100,0.03))</f>
        <v>0.07</v>
      </c>
      <c r="C768" s="25" t="n">
        <f aca="false">MAX(0,Penalty!$B$4-SUMIFS(Penalty!$C$10:$C$12,Penalty!$B$10:$B$12,"&lt;"&amp;A768))</f>
        <v>12000</v>
      </c>
      <c r="D768" s="25" t="n">
        <f aca="false">IF(A768&lt;=Penalty!$B$8,C768+F767+IF(A768&gt;Penalty!$B$19,Penalty!$I$5,0)+G767,0)</f>
        <v>0</v>
      </c>
      <c r="E768" s="26" t="n">
        <f aca="false">D768*B768/365</f>
        <v>0</v>
      </c>
      <c r="F768" s="25" t="n">
        <f aca="false">F767+E768*(1-IF(D768&gt;0,(IF(A768&gt;Penalty!$B$19,Penalty!$I$5,0)+G767)/D768,0))</f>
        <v>345.789278153858</v>
      </c>
      <c r="G768" s="25" t="n">
        <f aca="false">G767+E768*IF(D768&gt;0,(IF(A768&gt;Penalty!$B$19,Penalty!$I$5,0)+G767)/D768,0)</f>
        <v>46.6815525507708</v>
      </c>
    </row>
    <row r="769" customFormat="false" ht="15" hidden="false" customHeight="false" outlineLevel="0" collapsed="false">
      <c r="A769" s="23" t="n">
        <f aca="false">Penalty!$B$5+765</f>
        <v>46892</v>
      </c>
      <c r="B769" s="24" t="n">
        <f aca="false">IF(YEAR(A769)&gt;2026,Penalty!$B$16/100,IFERROR(INDEX(Rates!$B$4:$E$15,MATCH(YEAR(A769),Rates!$A$4:$A$15,0),ROUNDUP(MONTH(A769)/3,0))/100,0.03))</f>
        <v>0.07</v>
      </c>
      <c r="C769" s="25" t="n">
        <f aca="false">MAX(0,Penalty!$B$4-SUMIFS(Penalty!$C$10:$C$12,Penalty!$B$10:$B$12,"&lt;"&amp;A769))</f>
        <v>12000</v>
      </c>
      <c r="D769" s="25" t="n">
        <f aca="false">IF(A769&lt;=Penalty!$B$8,C769+F768+IF(A769&gt;Penalty!$B$19,Penalty!$I$5,0)+G768,0)</f>
        <v>0</v>
      </c>
      <c r="E769" s="26" t="n">
        <f aca="false">D769*B769/365</f>
        <v>0</v>
      </c>
      <c r="F769" s="25" t="n">
        <f aca="false">F768+E769*(1-IF(D769&gt;0,(IF(A769&gt;Penalty!$B$19,Penalty!$I$5,0)+G768)/D769,0))</f>
        <v>345.789278153858</v>
      </c>
      <c r="G769" s="25" t="n">
        <f aca="false">G768+E769*IF(D769&gt;0,(IF(A769&gt;Penalty!$B$19,Penalty!$I$5,0)+G768)/D769,0)</f>
        <v>46.6815525507708</v>
      </c>
    </row>
    <row r="770" customFormat="false" ht="15" hidden="false" customHeight="false" outlineLevel="0" collapsed="false">
      <c r="A770" s="23" t="n">
        <f aca="false">Penalty!$B$5+766</f>
        <v>46893</v>
      </c>
      <c r="B770" s="24" t="n">
        <f aca="false">IF(YEAR(A770)&gt;2026,Penalty!$B$16/100,IFERROR(INDEX(Rates!$B$4:$E$15,MATCH(YEAR(A770),Rates!$A$4:$A$15,0),ROUNDUP(MONTH(A770)/3,0))/100,0.03))</f>
        <v>0.07</v>
      </c>
      <c r="C770" s="25" t="n">
        <f aca="false">MAX(0,Penalty!$B$4-SUMIFS(Penalty!$C$10:$C$12,Penalty!$B$10:$B$12,"&lt;"&amp;A770))</f>
        <v>12000</v>
      </c>
      <c r="D770" s="25" t="n">
        <f aca="false">IF(A770&lt;=Penalty!$B$8,C770+F769+IF(A770&gt;Penalty!$B$19,Penalty!$I$5,0)+G769,0)</f>
        <v>0</v>
      </c>
      <c r="E770" s="26" t="n">
        <f aca="false">D770*B770/365</f>
        <v>0</v>
      </c>
      <c r="F770" s="25" t="n">
        <f aca="false">F769+E770*(1-IF(D770&gt;0,(IF(A770&gt;Penalty!$B$19,Penalty!$I$5,0)+G769)/D770,0))</f>
        <v>345.789278153858</v>
      </c>
      <c r="G770" s="25" t="n">
        <f aca="false">G769+E770*IF(D770&gt;0,(IF(A770&gt;Penalty!$B$19,Penalty!$I$5,0)+G769)/D770,0)</f>
        <v>46.6815525507708</v>
      </c>
    </row>
    <row r="771" customFormat="false" ht="15" hidden="false" customHeight="false" outlineLevel="0" collapsed="false">
      <c r="A771" s="23" t="n">
        <f aca="false">Penalty!$B$5+767</f>
        <v>46894</v>
      </c>
      <c r="B771" s="24" t="n">
        <f aca="false">IF(YEAR(A771)&gt;2026,Penalty!$B$16/100,IFERROR(INDEX(Rates!$B$4:$E$15,MATCH(YEAR(A771),Rates!$A$4:$A$15,0),ROUNDUP(MONTH(A771)/3,0))/100,0.03))</f>
        <v>0.07</v>
      </c>
      <c r="C771" s="25" t="n">
        <f aca="false">MAX(0,Penalty!$B$4-SUMIFS(Penalty!$C$10:$C$12,Penalty!$B$10:$B$12,"&lt;"&amp;A771))</f>
        <v>12000</v>
      </c>
      <c r="D771" s="25" t="n">
        <f aca="false">IF(A771&lt;=Penalty!$B$8,C771+F770+IF(A771&gt;Penalty!$B$19,Penalty!$I$5,0)+G770,0)</f>
        <v>0</v>
      </c>
      <c r="E771" s="26" t="n">
        <f aca="false">D771*B771/365</f>
        <v>0</v>
      </c>
      <c r="F771" s="25" t="n">
        <f aca="false">F770+E771*(1-IF(D771&gt;0,(IF(A771&gt;Penalty!$B$19,Penalty!$I$5,0)+G770)/D771,0))</f>
        <v>345.789278153858</v>
      </c>
      <c r="G771" s="25" t="n">
        <f aca="false">G770+E771*IF(D771&gt;0,(IF(A771&gt;Penalty!$B$19,Penalty!$I$5,0)+G770)/D771,0)</f>
        <v>46.6815525507708</v>
      </c>
    </row>
    <row r="772" customFormat="false" ht="15" hidden="false" customHeight="false" outlineLevel="0" collapsed="false">
      <c r="A772" s="23" t="n">
        <f aca="false">Penalty!$B$5+768</f>
        <v>46895</v>
      </c>
      <c r="B772" s="24" t="n">
        <f aca="false">IF(YEAR(A772)&gt;2026,Penalty!$B$16/100,IFERROR(INDEX(Rates!$B$4:$E$15,MATCH(YEAR(A772),Rates!$A$4:$A$15,0),ROUNDUP(MONTH(A772)/3,0))/100,0.03))</f>
        <v>0.07</v>
      </c>
      <c r="C772" s="25" t="n">
        <f aca="false">MAX(0,Penalty!$B$4-SUMIFS(Penalty!$C$10:$C$12,Penalty!$B$10:$B$12,"&lt;"&amp;A772))</f>
        <v>12000</v>
      </c>
      <c r="D772" s="25" t="n">
        <f aca="false">IF(A772&lt;=Penalty!$B$8,C772+F771+IF(A772&gt;Penalty!$B$19,Penalty!$I$5,0)+G771,0)</f>
        <v>0</v>
      </c>
      <c r="E772" s="26" t="n">
        <f aca="false">D772*B772/365</f>
        <v>0</v>
      </c>
      <c r="F772" s="25" t="n">
        <f aca="false">F771+E772*(1-IF(D772&gt;0,(IF(A772&gt;Penalty!$B$19,Penalty!$I$5,0)+G771)/D772,0))</f>
        <v>345.789278153858</v>
      </c>
      <c r="G772" s="25" t="n">
        <f aca="false">G771+E772*IF(D772&gt;0,(IF(A772&gt;Penalty!$B$19,Penalty!$I$5,0)+G771)/D772,0)</f>
        <v>46.6815525507708</v>
      </c>
    </row>
    <row r="773" customFormat="false" ht="15" hidden="false" customHeight="false" outlineLevel="0" collapsed="false">
      <c r="A773" s="23" t="n">
        <f aca="false">Penalty!$B$5+769</f>
        <v>46896</v>
      </c>
      <c r="B773" s="24" t="n">
        <f aca="false">IF(YEAR(A773)&gt;2026,Penalty!$B$16/100,IFERROR(INDEX(Rates!$B$4:$E$15,MATCH(YEAR(A773),Rates!$A$4:$A$15,0),ROUNDUP(MONTH(A773)/3,0))/100,0.03))</f>
        <v>0.07</v>
      </c>
      <c r="C773" s="25" t="n">
        <f aca="false">MAX(0,Penalty!$B$4-SUMIFS(Penalty!$C$10:$C$12,Penalty!$B$10:$B$12,"&lt;"&amp;A773))</f>
        <v>12000</v>
      </c>
      <c r="D773" s="25" t="n">
        <f aca="false">IF(A773&lt;=Penalty!$B$8,C773+F772+IF(A773&gt;Penalty!$B$19,Penalty!$I$5,0)+G772,0)</f>
        <v>0</v>
      </c>
      <c r="E773" s="26" t="n">
        <f aca="false">D773*B773/365</f>
        <v>0</v>
      </c>
      <c r="F773" s="25" t="n">
        <f aca="false">F772+E773*(1-IF(D773&gt;0,(IF(A773&gt;Penalty!$B$19,Penalty!$I$5,0)+G772)/D773,0))</f>
        <v>345.789278153858</v>
      </c>
      <c r="G773" s="25" t="n">
        <f aca="false">G772+E773*IF(D773&gt;0,(IF(A773&gt;Penalty!$B$19,Penalty!$I$5,0)+G772)/D773,0)</f>
        <v>46.6815525507708</v>
      </c>
    </row>
    <row r="774" customFormat="false" ht="15" hidden="false" customHeight="false" outlineLevel="0" collapsed="false">
      <c r="A774" s="23" t="n">
        <f aca="false">Penalty!$B$5+770</f>
        <v>46897</v>
      </c>
      <c r="B774" s="24" t="n">
        <f aca="false">IF(YEAR(A774)&gt;2026,Penalty!$B$16/100,IFERROR(INDEX(Rates!$B$4:$E$15,MATCH(YEAR(A774),Rates!$A$4:$A$15,0),ROUNDUP(MONTH(A774)/3,0))/100,0.03))</f>
        <v>0.07</v>
      </c>
      <c r="C774" s="25" t="n">
        <f aca="false">MAX(0,Penalty!$B$4-SUMIFS(Penalty!$C$10:$C$12,Penalty!$B$10:$B$12,"&lt;"&amp;A774))</f>
        <v>12000</v>
      </c>
      <c r="D774" s="25" t="n">
        <f aca="false">IF(A774&lt;=Penalty!$B$8,C774+F773+IF(A774&gt;Penalty!$B$19,Penalty!$I$5,0)+G773,0)</f>
        <v>0</v>
      </c>
      <c r="E774" s="26" t="n">
        <f aca="false">D774*B774/365</f>
        <v>0</v>
      </c>
      <c r="F774" s="25" t="n">
        <f aca="false">F773+E774*(1-IF(D774&gt;0,(IF(A774&gt;Penalty!$B$19,Penalty!$I$5,0)+G773)/D774,0))</f>
        <v>345.789278153858</v>
      </c>
      <c r="G774" s="25" t="n">
        <f aca="false">G773+E774*IF(D774&gt;0,(IF(A774&gt;Penalty!$B$19,Penalty!$I$5,0)+G773)/D774,0)</f>
        <v>46.6815525507708</v>
      </c>
    </row>
    <row r="775" customFormat="false" ht="15" hidden="false" customHeight="false" outlineLevel="0" collapsed="false">
      <c r="A775" s="23" t="n">
        <f aca="false">Penalty!$B$5+771</f>
        <v>46898</v>
      </c>
      <c r="B775" s="24" t="n">
        <f aca="false">IF(YEAR(A775)&gt;2026,Penalty!$B$16/100,IFERROR(INDEX(Rates!$B$4:$E$15,MATCH(YEAR(A775),Rates!$A$4:$A$15,0),ROUNDUP(MONTH(A775)/3,0))/100,0.03))</f>
        <v>0.07</v>
      </c>
      <c r="C775" s="25" t="n">
        <f aca="false">MAX(0,Penalty!$B$4-SUMIFS(Penalty!$C$10:$C$12,Penalty!$B$10:$B$12,"&lt;"&amp;A775))</f>
        <v>12000</v>
      </c>
      <c r="D775" s="25" t="n">
        <f aca="false">IF(A775&lt;=Penalty!$B$8,C775+F774+IF(A775&gt;Penalty!$B$19,Penalty!$I$5,0)+G774,0)</f>
        <v>0</v>
      </c>
      <c r="E775" s="26" t="n">
        <f aca="false">D775*B775/365</f>
        <v>0</v>
      </c>
      <c r="F775" s="25" t="n">
        <f aca="false">F774+E775*(1-IF(D775&gt;0,(IF(A775&gt;Penalty!$B$19,Penalty!$I$5,0)+G774)/D775,0))</f>
        <v>345.789278153858</v>
      </c>
      <c r="G775" s="25" t="n">
        <f aca="false">G774+E775*IF(D775&gt;0,(IF(A775&gt;Penalty!$B$19,Penalty!$I$5,0)+G774)/D775,0)</f>
        <v>46.6815525507708</v>
      </c>
    </row>
    <row r="776" customFormat="false" ht="15" hidden="false" customHeight="false" outlineLevel="0" collapsed="false">
      <c r="A776" s="23" t="n">
        <f aca="false">Penalty!$B$5+772</f>
        <v>46899</v>
      </c>
      <c r="B776" s="24" t="n">
        <f aca="false">IF(YEAR(A776)&gt;2026,Penalty!$B$16/100,IFERROR(INDEX(Rates!$B$4:$E$15,MATCH(YEAR(A776),Rates!$A$4:$A$15,0),ROUNDUP(MONTH(A776)/3,0))/100,0.03))</f>
        <v>0.07</v>
      </c>
      <c r="C776" s="25" t="n">
        <f aca="false">MAX(0,Penalty!$B$4-SUMIFS(Penalty!$C$10:$C$12,Penalty!$B$10:$B$12,"&lt;"&amp;A776))</f>
        <v>12000</v>
      </c>
      <c r="D776" s="25" t="n">
        <f aca="false">IF(A776&lt;=Penalty!$B$8,C776+F775+IF(A776&gt;Penalty!$B$19,Penalty!$I$5,0)+G775,0)</f>
        <v>0</v>
      </c>
      <c r="E776" s="26" t="n">
        <f aca="false">D776*B776/365</f>
        <v>0</v>
      </c>
      <c r="F776" s="25" t="n">
        <f aca="false">F775+E776*(1-IF(D776&gt;0,(IF(A776&gt;Penalty!$B$19,Penalty!$I$5,0)+G775)/D776,0))</f>
        <v>345.789278153858</v>
      </c>
      <c r="G776" s="25" t="n">
        <f aca="false">G775+E776*IF(D776&gt;0,(IF(A776&gt;Penalty!$B$19,Penalty!$I$5,0)+G775)/D776,0)</f>
        <v>46.6815525507708</v>
      </c>
    </row>
    <row r="777" customFormat="false" ht="15" hidden="false" customHeight="false" outlineLevel="0" collapsed="false">
      <c r="A777" s="23" t="n">
        <f aca="false">Penalty!$B$5+773</f>
        <v>46900</v>
      </c>
      <c r="B777" s="24" t="n">
        <f aca="false">IF(YEAR(A777)&gt;2026,Penalty!$B$16/100,IFERROR(INDEX(Rates!$B$4:$E$15,MATCH(YEAR(A777),Rates!$A$4:$A$15,0),ROUNDUP(MONTH(A777)/3,0))/100,0.03))</f>
        <v>0.07</v>
      </c>
      <c r="C777" s="25" t="n">
        <f aca="false">MAX(0,Penalty!$B$4-SUMIFS(Penalty!$C$10:$C$12,Penalty!$B$10:$B$12,"&lt;"&amp;A777))</f>
        <v>12000</v>
      </c>
      <c r="D777" s="25" t="n">
        <f aca="false">IF(A777&lt;=Penalty!$B$8,C777+F776+IF(A777&gt;Penalty!$B$19,Penalty!$I$5,0)+G776,0)</f>
        <v>0</v>
      </c>
      <c r="E777" s="26" t="n">
        <f aca="false">D777*B777/365</f>
        <v>0</v>
      </c>
      <c r="F777" s="25" t="n">
        <f aca="false">F776+E777*(1-IF(D777&gt;0,(IF(A777&gt;Penalty!$B$19,Penalty!$I$5,0)+G776)/D777,0))</f>
        <v>345.789278153858</v>
      </c>
      <c r="G777" s="25" t="n">
        <f aca="false">G776+E777*IF(D777&gt;0,(IF(A777&gt;Penalty!$B$19,Penalty!$I$5,0)+G776)/D777,0)</f>
        <v>46.6815525507708</v>
      </c>
    </row>
    <row r="778" customFormat="false" ht="15" hidden="false" customHeight="false" outlineLevel="0" collapsed="false">
      <c r="A778" s="23" t="n">
        <f aca="false">Penalty!$B$5+774</f>
        <v>46901</v>
      </c>
      <c r="B778" s="24" t="n">
        <f aca="false">IF(YEAR(A778)&gt;2026,Penalty!$B$16/100,IFERROR(INDEX(Rates!$B$4:$E$15,MATCH(YEAR(A778),Rates!$A$4:$A$15,0),ROUNDUP(MONTH(A778)/3,0))/100,0.03))</f>
        <v>0.07</v>
      </c>
      <c r="C778" s="25" t="n">
        <f aca="false">MAX(0,Penalty!$B$4-SUMIFS(Penalty!$C$10:$C$12,Penalty!$B$10:$B$12,"&lt;"&amp;A778))</f>
        <v>12000</v>
      </c>
      <c r="D778" s="25" t="n">
        <f aca="false">IF(A778&lt;=Penalty!$B$8,C778+F777+IF(A778&gt;Penalty!$B$19,Penalty!$I$5,0)+G777,0)</f>
        <v>0</v>
      </c>
      <c r="E778" s="26" t="n">
        <f aca="false">D778*B778/365</f>
        <v>0</v>
      </c>
      <c r="F778" s="25" t="n">
        <f aca="false">F777+E778*(1-IF(D778&gt;0,(IF(A778&gt;Penalty!$B$19,Penalty!$I$5,0)+G777)/D778,0))</f>
        <v>345.789278153858</v>
      </c>
      <c r="G778" s="25" t="n">
        <f aca="false">G777+E778*IF(D778&gt;0,(IF(A778&gt;Penalty!$B$19,Penalty!$I$5,0)+G777)/D778,0)</f>
        <v>46.6815525507708</v>
      </c>
    </row>
    <row r="779" customFormat="false" ht="15" hidden="false" customHeight="false" outlineLevel="0" collapsed="false">
      <c r="A779" s="23" t="n">
        <f aca="false">Penalty!$B$5+775</f>
        <v>46902</v>
      </c>
      <c r="B779" s="24" t="n">
        <f aca="false">IF(YEAR(A779)&gt;2026,Penalty!$B$16/100,IFERROR(INDEX(Rates!$B$4:$E$15,MATCH(YEAR(A779),Rates!$A$4:$A$15,0),ROUNDUP(MONTH(A779)/3,0))/100,0.03))</f>
        <v>0.07</v>
      </c>
      <c r="C779" s="25" t="n">
        <f aca="false">MAX(0,Penalty!$B$4-SUMIFS(Penalty!$C$10:$C$12,Penalty!$B$10:$B$12,"&lt;"&amp;A779))</f>
        <v>12000</v>
      </c>
      <c r="D779" s="25" t="n">
        <f aca="false">IF(A779&lt;=Penalty!$B$8,C779+F778+IF(A779&gt;Penalty!$B$19,Penalty!$I$5,0)+G778,0)</f>
        <v>0</v>
      </c>
      <c r="E779" s="26" t="n">
        <f aca="false">D779*B779/365</f>
        <v>0</v>
      </c>
      <c r="F779" s="25" t="n">
        <f aca="false">F778+E779*(1-IF(D779&gt;0,(IF(A779&gt;Penalty!$B$19,Penalty!$I$5,0)+G778)/D779,0))</f>
        <v>345.789278153858</v>
      </c>
      <c r="G779" s="25" t="n">
        <f aca="false">G778+E779*IF(D779&gt;0,(IF(A779&gt;Penalty!$B$19,Penalty!$I$5,0)+G778)/D779,0)</f>
        <v>46.6815525507708</v>
      </c>
    </row>
    <row r="780" customFormat="false" ht="15" hidden="false" customHeight="false" outlineLevel="0" collapsed="false">
      <c r="A780" s="23" t="n">
        <f aca="false">Penalty!$B$5+776</f>
        <v>46903</v>
      </c>
      <c r="B780" s="24" t="n">
        <f aca="false">IF(YEAR(A780)&gt;2026,Penalty!$B$16/100,IFERROR(INDEX(Rates!$B$4:$E$15,MATCH(YEAR(A780),Rates!$A$4:$A$15,0),ROUNDUP(MONTH(A780)/3,0))/100,0.03))</f>
        <v>0.07</v>
      </c>
      <c r="C780" s="25" t="n">
        <f aca="false">MAX(0,Penalty!$B$4-SUMIFS(Penalty!$C$10:$C$12,Penalty!$B$10:$B$12,"&lt;"&amp;A780))</f>
        <v>12000</v>
      </c>
      <c r="D780" s="25" t="n">
        <f aca="false">IF(A780&lt;=Penalty!$B$8,C780+F779+IF(A780&gt;Penalty!$B$19,Penalty!$I$5,0)+G779,0)</f>
        <v>0</v>
      </c>
      <c r="E780" s="26" t="n">
        <f aca="false">D780*B780/365</f>
        <v>0</v>
      </c>
      <c r="F780" s="25" t="n">
        <f aca="false">F779+E780*(1-IF(D780&gt;0,(IF(A780&gt;Penalty!$B$19,Penalty!$I$5,0)+G779)/D780,0))</f>
        <v>345.789278153858</v>
      </c>
      <c r="G780" s="25" t="n">
        <f aca="false">G779+E780*IF(D780&gt;0,(IF(A780&gt;Penalty!$B$19,Penalty!$I$5,0)+G779)/D780,0)</f>
        <v>46.6815525507708</v>
      </c>
    </row>
    <row r="781" customFormat="false" ht="15" hidden="false" customHeight="false" outlineLevel="0" collapsed="false">
      <c r="A781" s="23" t="n">
        <f aca="false">Penalty!$B$5+777</f>
        <v>46904</v>
      </c>
      <c r="B781" s="24" t="n">
        <f aca="false">IF(YEAR(A781)&gt;2026,Penalty!$B$16/100,IFERROR(INDEX(Rates!$B$4:$E$15,MATCH(YEAR(A781),Rates!$A$4:$A$15,0),ROUNDUP(MONTH(A781)/3,0))/100,0.03))</f>
        <v>0.07</v>
      </c>
      <c r="C781" s="25" t="n">
        <f aca="false">MAX(0,Penalty!$B$4-SUMIFS(Penalty!$C$10:$C$12,Penalty!$B$10:$B$12,"&lt;"&amp;A781))</f>
        <v>12000</v>
      </c>
      <c r="D781" s="25" t="n">
        <f aca="false">IF(A781&lt;=Penalty!$B$8,C781+F780+IF(A781&gt;Penalty!$B$19,Penalty!$I$5,0)+G780,0)</f>
        <v>0</v>
      </c>
      <c r="E781" s="26" t="n">
        <f aca="false">D781*B781/365</f>
        <v>0</v>
      </c>
      <c r="F781" s="25" t="n">
        <f aca="false">F780+E781*(1-IF(D781&gt;0,(IF(A781&gt;Penalty!$B$19,Penalty!$I$5,0)+G780)/D781,0))</f>
        <v>345.789278153858</v>
      </c>
      <c r="G781" s="25" t="n">
        <f aca="false">G780+E781*IF(D781&gt;0,(IF(A781&gt;Penalty!$B$19,Penalty!$I$5,0)+G780)/D781,0)</f>
        <v>46.6815525507708</v>
      </c>
    </row>
    <row r="782" customFormat="false" ht="15" hidden="false" customHeight="false" outlineLevel="0" collapsed="false">
      <c r="A782" s="23" t="n">
        <f aca="false">Penalty!$B$5+778</f>
        <v>46905</v>
      </c>
      <c r="B782" s="24" t="n">
        <f aca="false">IF(YEAR(A782)&gt;2026,Penalty!$B$16/100,IFERROR(INDEX(Rates!$B$4:$E$15,MATCH(YEAR(A782),Rates!$A$4:$A$15,0),ROUNDUP(MONTH(A782)/3,0))/100,0.03))</f>
        <v>0.07</v>
      </c>
      <c r="C782" s="25" t="n">
        <f aca="false">MAX(0,Penalty!$B$4-SUMIFS(Penalty!$C$10:$C$12,Penalty!$B$10:$B$12,"&lt;"&amp;A782))</f>
        <v>12000</v>
      </c>
      <c r="D782" s="25" t="n">
        <f aca="false">IF(A782&lt;=Penalty!$B$8,C782+F781+IF(A782&gt;Penalty!$B$19,Penalty!$I$5,0)+G781,0)</f>
        <v>0</v>
      </c>
      <c r="E782" s="26" t="n">
        <f aca="false">D782*B782/365</f>
        <v>0</v>
      </c>
      <c r="F782" s="25" t="n">
        <f aca="false">F781+E782*(1-IF(D782&gt;0,(IF(A782&gt;Penalty!$B$19,Penalty!$I$5,0)+G781)/D782,0))</f>
        <v>345.789278153858</v>
      </c>
      <c r="G782" s="25" t="n">
        <f aca="false">G781+E782*IF(D782&gt;0,(IF(A782&gt;Penalty!$B$19,Penalty!$I$5,0)+G781)/D782,0)</f>
        <v>46.6815525507708</v>
      </c>
    </row>
    <row r="783" customFormat="false" ht="15" hidden="false" customHeight="false" outlineLevel="0" collapsed="false">
      <c r="A783" s="23" t="n">
        <f aca="false">Penalty!$B$5+779</f>
        <v>46906</v>
      </c>
      <c r="B783" s="24" t="n">
        <f aca="false">IF(YEAR(A783)&gt;2026,Penalty!$B$16/100,IFERROR(INDEX(Rates!$B$4:$E$15,MATCH(YEAR(A783),Rates!$A$4:$A$15,0),ROUNDUP(MONTH(A783)/3,0))/100,0.03))</f>
        <v>0.07</v>
      </c>
      <c r="C783" s="25" t="n">
        <f aca="false">MAX(0,Penalty!$B$4-SUMIFS(Penalty!$C$10:$C$12,Penalty!$B$10:$B$12,"&lt;"&amp;A783))</f>
        <v>12000</v>
      </c>
      <c r="D783" s="25" t="n">
        <f aca="false">IF(A783&lt;=Penalty!$B$8,C783+F782+IF(A783&gt;Penalty!$B$19,Penalty!$I$5,0)+G782,0)</f>
        <v>0</v>
      </c>
      <c r="E783" s="26" t="n">
        <f aca="false">D783*B783/365</f>
        <v>0</v>
      </c>
      <c r="F783" s="25" t="n">
        <f aca="false">F782+E783*(1-IF(D783&gt;0,(IF(A783&gt;Penalty!$B$19,Penalty!$I$5,0)+G782)/D783,0))</f>
        <v>345.789278153858</v>
      </c>
      <c r="G783" s="25" t="n">
        <f aca="false">G782+E783*IF(D783&gt;0,(IF(A783&gt;Penalty!$B$19,Penalty!$I$5,0)+G782)/D783,0)</f>
        <v>46.6815525507708</v>
      </c>
    </row>
    <row r="784" customFormat="false" ht="15" hidden="false" customHeight="false" outlineLevel="0" collapsed="false">
      <c r="A784" s="23" t="n">
        <f aca="false">Penalty!$B$5+780</f>
        <v>46907</v>
      </c>
      <c r="B784" s="24" t="n">
        <f aca="false">IF(YEAR(A784)&gt;2026,Penalty!$B$16/100,IFERROR(INDEX(Rates!$B$4:$E$15,MATCH(YEAR(A784),Rates!$A$4:$A$15,0),ROUNDUP(MONTH(A784)/3,0))/100,0.03))</f>
        <v>0.07</v>
      </c>
      <c r="C784" s="25" t="n">
        <f aca="false">MAX(0,Penalty!$B$4-SUMIFS(Penalty!$C$10:$C$12,Penalty!$B$10:$B$12,"&lt;"&amp;A784))</f>
        <v>12000</v>
      </c>
      <c r="D784" s="25" t="n">
        <f aca="false">IF(A784&lt;=Penalty!$B$8,C784+F783+IF(A784&gt;Penalty!$B$19,Penalty!$I$5,0)+G783,0)</f>
        <v>0</v>
      </c>
      <c r="E784" s="26" t="n">
        <f aca="false">D784*B784/365</f>
        <v>0</v>
      </c>
      <c r="F784" s="25" t="n">
        <f aca="false">F783+E784*(1-IF(D784&gt;0,(IF(A784&gt;Penalty!$B$19,Penalty!$I$5,0)+G783)/D784,0))</f>
        <v>345.789278153858</v>
      </c>
      <c r="G784" s="25" t="n">
        <f aca="false">G783+E784*IF(D784&gt;0,(IF(A784&gt;Penalty!$B$19,Penalty!$I$5,0)+G783)/D784,0)</f>
        <v>46.6815525507708</v>
      </c>
    </row>
    <row r="785" customFormat="false" ht="15" hidden="false" customHeight="false" outlineLevel="0" collapsed="false">
      <c r="A785" s="23" t="n">
        <f aca="false">Penalty!$B$5+781</f>
        <v>46908</v>
      </c>
      <c r="B785" s="24" t="n">
        <f aca="false">IF(YEAR(A785)&gt;2026,Penalty!$B$16/100,IFERROR(INDEX(Rates!$B$4:$E$15,MATCH(YEAR(A785),Rates!$A$4:$A$15,0),ROUNDUP(MONTH(A785)/3,0))/100,0.03))</f>
        <v>0.07</v>
      </c>
      <c r="C785" s="25" t="n">
        <f aca="false">MAX(0,Penalty!$B$4-SUMIFS(Penalty!$C$10:$C$12,Penalty!$B$10:$B$12,"&lt;"&amp;A785))</f>
        <v>12000</v>
      </c>
      <c r="D785" s="25" t="n">
        <f aca="false">IF(A785&lt;=Penalty!$B$8,C785+F784+IF(A785&gt;Penalty!$B$19,Penalty!$I$5,0)+G784,0)</f>
        <v>0</v>
      </c>
      <c r="E785" s="26" t="n">
        <f aca="false">D785*B785/365</f>
        <v>0</v>
      </c>
      <c r="F785" s="25" t="n">
        <f aca="false">F784+E785*(1-IF(D785&gt;0,(IF(A785&gt;Penalty!$B$19,Penalty!$I$5,0)+G784)/D785,0))</f>
        <v>345.789278153858</v>
      </c>
      <c r="G785" s="25" t="n">
        <f aca="false">G784+E785*IF(D785&gt;0,(IF(A785&gt;Penalty!$B$19,Penalty!$I$5,0)+G784)/D785,0)</f>
        <v>46.6815525507708</v>
      </c>
    </row>
    <row r="786" customFormat="false" ht="15" hidden="false" customHeight="false" outlineLevel="0" collapsed="false">
      <c r="A786" s="23" t="n">
        <f aca="false">Penalty!$B$5+782</f>
        <v>46909</v>
      </c>
      <c r="B786" s="24" t="n">
        <f aca="false">IF(YEAR(A786)&gt;2026,Penalty!$B$16/100,IFERROR(INDEX(Rates!$B$4:$E$15,MATCH(YEAR(A786),Rates!$A$4:$A$15,0),ROUNDUP(MONTH(A786)/3,0))/100,0.03))</f>
        <v>0.07</v>
      </c>
      <c r="C786" s="25" t="n">
        <f aca="false">MAX(0,Penalty!$B$4-SUMIFS(Penalty!$C$10:$C$12,Penalty!$B$10:$B$12,"&lt;"&amp;A786))</f>
        <v>12000</v>
      </c>
      <c r="D786" s="25" t="n">
        <f aca="false">IF(A786&lt;=Penalty!$B$8,C786+F785+IF(A786&gt;Penalty!$B$19,Penalty!$I$5,0)+G785,0)</f>
        <v>0</v>
      </c>
      <c r="E786" s="26" t="n">
        <f aca="false">D786*B786/365</f>
        <v>0</v>
      </c>
      <c r="F786" s="25" t="n">
        <f aca="false">F785+E786*(1-IF(D786&gt;0,(IF(A786&gt;Penalty!$B$19,Penalty!$I$5,0)+G785)/D786,0))</f>
        <v>345.789278153858</v>
      </c>
      <c r="G786" s="25" t="n">
        <f aca="false">G785+E786*IF(D786&gt;0,(IF(A786&gt;Penalty!$B$19,Penalty!$I$5,0)+G785)/D786,0)</f>
        <v>46.6815525507708</v>
      </c>
    </row>
    <row r="787" customFormat="false" ht="15" hidden="false" customHeight="false" outlineLevel="0" collapsed="false">
      <c r="A787" s="23" t="n">
        <f aca="false">Penalty!$B$5+783</f>
        <v>46910</v>
      </c>
      <c r="B787" s="24" t="n">
        <f aca="false">IF(YEAR(A787)&gt;2026,Penalty!$B$16/100,IFERROR(INDEX(Rates!$B$4:$E$15,MATCH(YEAR(A787),Rates!$A$4:$A$15,0),ROUNDUP(MONTH(A787)/3,0))/100,0.03))</f>
        <v>0.07</v>
      </c>
      <c r="C787" s="25" t="n">
        <f aca="false">MAX(0,Penalty!$B$4-SUMIFS(Penalty!$C$10:$C$12,Penalty!$B$10:$B$12,"&lt;"&amp;A787))</f>
        <v>12000</v>
      </c>
      <c r="D787" s="25" t="n">
        <f aca="false">IF(A787&lt;=Penalty!$B$8,C787+F786+IF(A787&gt;Penalty!$B$19,Penalty!$I$5,0)+G786,0)</f>
        <v>0</v>
      </c>
      <c r="E787" s="26" t="n">
        <f aca="false">D787*B787/365</f>
        <v>0</v>
      </c>
      <c r="F787" s="25" t="n">
        <f aca="false">F786+E787*(1-IF(D787&gt;0,(IF(A787&gt;Penalty!$B$19,Penalty!$I$5,0)+G786)/D787,0))</f>
        <v>345.789278153858</v>
      </c>
      <c r="G787" s="25" t="n">
        <f aca="false">G786+E787*IF(D787&gt;0,(IF(A787&gt;Penalty!$B$19,Penalty!$I$5,0)+G786)/D787,0)</f>
        <v>46.6815525507708</v>
      </c>
    </row>
    <row r="788" customFormat="false" ht="15" hidden="false" customHeight="false" outlineLevel="0" collapsed="false">
      <c r="A788" s="23" t="n">
        <f aca="false">Penalty!$B$5+784</f>
        <v>46911</v>
      </c>
      <c r="B788" s="24" t="n">
        <f aca="false">IF(YEAR(A788)&gt;2026,Penalty!$B$16/100,IFERROR(INDEX(Rates!$B$4:$E$15,MATCH(YEAR(A788),Rates!$A$4:$A$15,0),ROUNDUP(MONTH(A788)/3,0))/100,0.03))</f>
        <v>0.07</v>
      </c>
      <c r="C788" s="25" t="n">
        <f aca="false">MAX(0,Penalty!$B$4-SUMIFS(Penalty!$C$10:$C$12,Penalty!$B$10:$B$12,"&lt;"&amp;A788))</f>
        <v>12000</v>
      </c>
      <c r="D788" s="25" t="n">
        <f aca="false">IF(A788&lt;=Penalty!$B$8,C788+F787+IF(A788&gt;Penalty!$B$19,Penalty!$I$5,0)+G787,0)</f>
        <v>0</v>
      </c>
      <c r="E788" s="26" t="n">
        <f aca="false">D788*B788/365</f>
        <v>0</v>
      </c>
      <c r="F788" s="25" t="n">
        <f aca="false">F787+E788*(1-IF(D788&gt;0,(IF(A788&gt;Penalty!$B$19,Penalty!$I$5,0)+G787)/D788,0))</f>
        <v>345.789278153858</v>
      </c>
      <c r="G788" s="25" t="n">
        <f aca="false">G787+E788*IF(D788&gt;0,(IF(A788&gt;Penalty!$B$19,Penalty!$I$5,0)+G787)/D788,0)</f>
        <v>46.6815525507708</v>
      </c>
    </row>
    <row r="789" customFormat="false" ht="15" hidden="false" customHeight="false" outlineLevel="0" collapsed="false">
      <c r="A789" s="23" t="n">
        <f aca="false">Penalty!$B$5+785</f>
        <v>46912</v>
      </c>
      <c r="B789" s="24" t="n">
        <f aca="false">IF(YEAR(A789)&gt;2026,Penalty!$B$16/100,IFERROR(INDEX(Rates!$B$4:$E$15,MATCH(YEAR(A789),Rates!$A$4:$A$15,0),ROUNDUP(MONTH(A789)/3,0))/100,0.03))</f>
        <v>0.07</v>
      </c>
      <c r="C789" s="25" t="n">
        <f aca="false">MAX(0,Penalty!$B$4-SUMIFS(Penalty!$C$10:$C$12,Penalty!$B$10:$B$12,"&lt;"&amp;A789))</f>
        <v>12000</v>
      </c>
      <c r="D789" s="25" t="n">
        <f aca="false">IF(A789&lt;=Penalty!$B$8,C789+F788+IF(A789&gt;Penalty!$B$19,Penalty!$I$5,0)+G788,0)</f>
        <v>0</v>
      </c>
      <c r="E789" s="26" t="n">
        <f aca="false">D789*B789/365</f>
        <v>0</v>
      </c>
      <c r="F789" s="25" t="n">
        <f aca="false">F788+E789*(1-IF(D789&gt;0,(IF(A789&gt;Penalty!$B$19,Penalty!$I$5,0)+G788)/D789,0))</f>
        <v>345.789278153858</v>
      </c>
      <c r="G789" s="25" t="n">
        <f aca="false">G788+E789*IF(D789&gt;0,(IF(A789&gt;Penalty!$B$19,Penalty!$I$5,0)+G788)/D789,0)</f>
        <v>46.6815525507708</v>
      </c>
    </row>
    <row r="790" customFormat="false" ht="15" hidden="false" customHeight="false" outlineLevel="0" collapsed="false">
      <c r="A790" s="23" t="n">
        <f aca="false">Penalty!$B$5+786</f>
        <v>46913</v>
      </c>
      <c r="B790" s="24" t="n">
        <f aca="false">IF(YEAR(A790)&gt;2026,Penalty!$B$16/100,IFERROR(INDEX(Rates!$B$4:$E$15,MATCH(YEAR(A790),Rates!$A$4:$A$15,0),ROUNDUP(MONTH(A790)/3,0))/100,0.03))</f>
        <v>0.07</v>
      </c>
      <c r="C790" s="25" t="n">
        <f aca="false">MAX(0,Penalty!$B$4-SUMIFS(Penalty!$C$10:$C$12,Penalty!$B$10:$B$12,"&lt;"&amp;A790))</f>
        <v>12000</v>
      </c>
      <c r="D790" s="25" t="n">
        <f aca="false">IF(A790&lt;=Penalty!$B$8,C790+F789+IF(A790&gt;Penalty!$B$19,Penalty!$I$5,0)+G789,0)</f>
        <v>0</v>
      </c>
      <c r="E790" s="26" t="n">
        <f aca="false">D790*B790/365</f>
        <v>0</v>
      </c>
      <c r="F790" s="25" t="n">
        <f aca="false">F789+E790*(1-IF(D790&gt;0,(IF(A790&gt;Penalty!$B$19,Penalty!$I$5,0)+G789)/D790,0))</f>
        <v>345.789278153858</v>
      </c>
      <c r="G790" s="25" t="n">
        <f aca="false">G789+E790*IF(D790&gt;0,(IF(A790&gt;Penalty!$B$19,Penalty!$I$5,0)+G789)/D790,0)</f>
        <v>46.6815525507708</v>
      </c>
    </row>
    <row r="791" customFormat="false" ht="15" hidden="false" customHeight="false" outlineLevel="0" collapsed="false">
      <c r="A791" s="23" t="n">
        <f aca="false">Penalty!$B$5+787</f>
        <v>46914</v>
      </c>
      <c r="B791" s="24" t="n">
        <f aca="false">IF(YEAR(A791)&gt;2026,Penalty!$B$16/100,IFERROR(INDEX(Rates!$B$4:$E$15,MATCH(YEAR(A791),Rates!$A$4:$A$15,0),ROUNDUP(MONTH(A791)/3,0))/100,0.03))</f>
        <v>0.07</v>
      </c>
      <c r="C791" s="25" t="n">
        <f aca="false">MAX(0,Penalty!$B$4-SUMIFS(Penalty!$C$10:$C$12,Penalty!$B$10:$B$12,"&lt;"&amp;A791))</f>
        <v>12000</v>
      </c>
      <c r="D791" s="25" t="n">
        <f aca="false">IF(A791&lt;=Penalty!$B$8,C791+F790+IF(A791&gt;Penalty!$B$19,Penalty!$I$5,0)+G790,0)</f>
        <v>0</v>
      </c>
      <c r="E791" s="26" t="n">
        <f aca="false">D791*B791/365</f>
        <v>0</v>
      </c>
      <c r="F791" s="25" t="n">
        <f aca="false">F790+E791*(1-IF(D791&gt;0,(IF(A791&gt;Penalty!$B$19,Penalty!$I$5,0)+G790)/D791,0))</f>
        <v>345.789278153858</v>
      </c>
      <c r="G791" s="25" t="n">
        <f aca="false">G790+E791*IF(D791&gt;0,(IF(A791&gt;Penalty!$B$19,Penalty!$I$5,0)+G790)/D791,0)</f>
        <v>46.6815525507708</v>
      </c>
    </row>
    <row r="792" customFormat="false" ht="15" hidden="false" customHeight="false" outlineLevel="0" collapsed="false">
      <c r="A792" s="23" t="n">
        <f aca="false">Penalty!$B$5+788</f>
        <v>46915</v>
      </c>
      <c r="B792" s="24" t="n">
        <f aca="false">IF(YEAR(A792)&gt;2026,Penalty!$B$16/100,IFERROR(INDEX(Rates!$B$4:$E$15,MATCH(YEAR(A792),Rates!$A$4:$A$15,0),ROUNDUP(MONTH(A792)/3,0))/100,0.03))</f>
        <v>0.07</v>
      </c>
      <c r="C792" s="25" t="n">
        <f aca="false">MAX(0,Penalty!$B$4-SUMIFS(Penalty!$C$10:$C$12,Penalty!$B$10:$B$12,"&lt;"&amp;A792))</f>
        <v>12000</v>
      </c>
      <c r="D792" s="25" t="n">
        <f aca="false">IF(A792&lt;=Penalty!$B$8,C792+F791+IF(A792&gt;Penalty!$B$19,Penalty!$I$5,0)+G791,0)</f>
        <v>0</v>
      </c>
      <c r="E792" s="26" t="n">
        <f aca="false">D792*B792/365</f>
        <v>0</v>
      </c>
      <c r="F792" s="25" t="n">
        <f aca="false">F791+E792*(1-IF(D792&gt;0,(IF(A792&gt;Penalty!$B$19,Penalty!$I$5,0)+G791)/D792,0))</f>
        <v>345.789278153858</v>
      </c>
      <c r="G792" s="25" t="n">
        <f aca="false">G791+E792*IF(D792&gt;0,(IF(A792&gt;Penalty!$B$19,Penalty!$I$5,0)+G791)/D792,0)</f>
        <v>46.6815525507708</v>
      </c>
    </row>
    <row r="793" customFormat="false" ht="15" hidden="false" customHeight="false" outlineLevel="0" collapsed="false">
      <c r="A793" s="23" t="n">
        <f aca="false">Penalty!$B$5+789</f>
        <v>46916</v>
      </c>
      <c r="B793" s="24" t="n">
        <f aca="false">IF(YEAR(A793)&gt;2026,Penalty!$B$16/100,IFERROR(INDEX(Rates!$B$4:$E$15,MATCH(YEAR(A793),Rates!$A$4:$A$15,0),ROUNDUP(MONTH(A793)/3,0))/100,0.03))</f>
        <v>0.07</v>
      </c>
      <c r="C793" s="25" t="n">
        <f aca="false">MAX(0,Penalty!$B$4-SUMIFS(Penalty!$C$10:$C$12,Penalty!$B$10:$B$12,"&lt;"&amp;A793))</f>
        <v>12000</v>
      </c>
      <c r="D793" s="25" t="n">
        <f aca="false">IF(A793&lt;=Penalty!$B$8,C793+F792+IF(A793&gt;Penalty!$B$19,Penalty!$I$5,0)+G792,0)</f>
        <v>0</v>
      </c>
      <c r="E793" s="26" t="n">
        <f aca="false">D793*B793/365</f>
        <v>0</v>
      </c>
      <c r="F793" s="25" t="n">
        <f aca="false">F792+E793*(1-IF(D793&gt;0,(IF(A793&gt;Penalty!$B$19,Penalty!$I$5,0)+G792)/D793,0))</f>
        <v>345.789278153858</v>
      </c>
      <c r="G793" s="25" t="n">
        <f aca="false">G792+E793*IF(D793&gt;0,(IF(A793&gt;Penalty!$B$19,Penalty!$I$5,0)+G792)/D793,0)</f>
        <v>46.6815525507708</v>
      </c>
    </row>
    <row r="794" customFormat="false" ht="15" hidden="false" customHeight="false" outlineLevel="0" collapsed="false">
      <c r="A794" s="23" t="n">
        <f aca="false">Penalty!$B$5+790</f>
        <v>46917</v>
      </c>
      <c r="B794" s="24" t="n">
        <f aca="false">IF(YEAR(A794)&gt;2026,Penalty!$B$16/100,IFERROR(INDEX(Rates!$B$4:$E$15,MATCH(YEAR(A794),Rates!$A$4:$A$15,0),ROUNDUP(MONTH(A794)/3,0))/100,0.03))</f>
        <v>0.07</v>
      </c>
      <c r="C794" s="25" t="n">
        <f aca="false">MAX(0,Penalty!$B$4-SUMIFS(Penalty!$C$10:$C$12,Penalty!$B$10:$B$12,"&lt;"&amp;A794))</f>
        <v>12000</v>
      </c>
      <c r="D794" s="25" t="n">
        <f aca="false">IF(A794&lt;=Penalty!$B$8,C794+F793+IF(A794&gt;Penalty!$B$19,Penalty!$I$5,0)+G793,0)</f>
        <v>0</v>
      </c>
      <c r="E794" s="26" t="n">
        <f aca="false">D794*B794/365</f>
        <v>0</v>
      </c>
      <c r="F794" s="25" t="n">
        <f aca="false">F793+E794*(1-IF(D794&gt;0,(IF(A794&gt;Penalty!$B$19,Penalty!$I$5,0)+G793)/D794,0))</f>
        <v>345.789278153858</v>
      </c>
      <c r="G794" s="25" t="n">
        <f aca="false">G793+E794*IF(D794&gt;0,(IF(A794&gt;Penalty!$B$19,Penalty!$I$5,0)+G793)/D794,0)</f>
        <v>46.6815525507708</v>
      </c>
    </row>
    <row r="795" customFormat="false" ht="15" hidden="false" customHeight="false" outlineLevel="0" collapsed="false">
      <c r="A795" s="23" t="n">
        <f aca="false">Penalty!$B$5+791</f>
        <v>46918</v>
      </c>
      <c r="B795" s="24" t="n">
        <f aca="false">IF(YEAR(A795)&gt;2026,Penalty!$B$16/100,IFERROR(INDEX(Rates!$B$4:$E$15,MATCH(YEAR(A795),Rates!$A$4:$A$15,0),ROUNDUP(MONTH(A795)/3,0))/100,0.03))</f>
        <v>0.07</v>
      </c>
      <c r="C795" s="25" t="n">
        <f aca="false">MAX(0,Penalty!$B$4-SUMIFS(Penalty!$C$10:$C$12,Penalty!$B$10:$B$12,"&lt;"&amp;A795))</f>
        <v>12000</v>
      </c>
      <c r="D795" s="25" t="n">
        <f aca="false">IF(A795&lt;=Penalty!$B$8,C795+F794+IF(A795&gt;Penalty!$B$19,Penalty!$I$5,0)+G794,0)</f>
        <v>0</v>
      </c>
      <c r="E795" s="26" t="n">
        <f aca="false">D795*B795/365</f>
        <v>0</v>
      </c>
      <c r="F795" s="25" t="n">
        <f aca="false">F794+E795*(1-IF(D795&gt;0,(IF(A795&gt;Penalty!$B$19,Penalty!$I$5,0)+G794)/D795,0))</f>
        <v>345.789278153858</v>
      </c>
      <c r="G795" s="25" t="n">
        <f aca="false">G794+E795*IF(D795&gt;0,(IF(A795&gt;Penalty!$B$19,Penalty!$I$5,0)+G794)/D795,0)</f>
        <v>46.6815525507708</v>
      </c>
    </row>
    <row r="796" customFormat="false" ht="15" hidden="false" customHeight="false" outlineLevel="0" collapsed="false">
      <c r="A796" s="23" t="n">
        <f aca="false">Penalty!$B$5+792</f>
        <v>46919</v>
      </c>
      <c r="B796" s="24" t="n">
        <f aca="false">IF(YEAR(A796)&gt;2026,Penalty!$B$16/100,IFERROR(INDEX(Rates!$B$4:$E$15,MATCH(YEAR(A796),Rates!$A$4:$A$15,0),ROUNDUP(MONTH(A796)/3,0))/100,0.03))</f>
        <v>0.07</v>
      </c>
      <c r="C796" s="25" t="n">
        <f aca="false">MAX(0,Penalty!$B$4-SUMIFS(Penalty!$C$10:$C$12,Penalty!$B$10:$B$12,"&lt;"&amp;A796))</f>
        <v>12000</v>
      </c>
      <c r="D796" s="25" t="n">
        <f aca="false">IF(A796&lt;=Penalty!$B$8,C796+F795+IF(A796&gt;Penalty!$B$19,Penalty!$I$5,0)+G795,0)</f>
        <v>0</v>
      </c>
      <c r="E796" s="26" t="n">
        <f aca="false">D796*B796/365</f>
        <v>0</v>
      </c>
      <c r="F796" s="25" t="n">
        <f aca="false">F795+E796*(1-IF(D796&gt;0,(IF(A796&gt;Penalty!$B$19,Penalty!$I$5,0)+G795)/D796,0))</f>
        <v>345.789278153858</v>
      </c>
      <c r="G796" s="25" t="n">
        <f aca="false">G795+E796*IF(D796&gt;0,(IF(A796&gt;Penalty!$B$19,Penalty!$I$5,0)+G795)/D796,0)</f>
        <v>46.6815525507708</v>
      </c>
    </row>
    <row r="797" customFormat="false" ht="15" hidden="false" customHeight="false" outlineLevel="0" collapsed="false">
      <c r="A797" s="23" t="n">
        <f aca="false">Penalty!$B$5+793</f>
        <v>46920</v>
      </c>
      <c r="B797" s="24" t="n">
        <f aca="false">IF(YEAR(A797)&gt;2026,Penalty!$B$16/100,IFERROR(INDEX(Rates!$B$4:$E$15,MATCH(YEAR(A797),Rates!$A$4:$A$15,0),ROUNDUP(MONTH(A797)/3,0))/100,0.03))</f>
        <v>0.07</v>
      </c>
      <c r="C797" s="25" t="n">
        <f aca="false">MAX(0,Penalty!$B$4-SUMIFS(Penalty!$C$10:$C$12,Penalty!$B$10:$B$12,"&lt;"&amp;A797))</f>
        <v>12000</v>
      </c>
      <c r="D797" s="25" t="n">
        <f aca="false">IF(A797&lt;=Penalty!$B$8,C797+F796+IF(A797&gt;Penalty!$B$19,Penalty!$I$5,0)+G796,0)</f>
        <v>0</v>
      </c>
      <c r="E797" s="26" t="n">
        <f aca="false">D797*B797/365</f>
        <v>0</v>
      </c>
      <c r="F797" s="25" t="n">
        <f aca="false">F796+E797*(1-IF(D797&gt;0,(IF(A797&gt;Penalty!$B$19,Penalty!$I$5,0)+G796)/D797,0))</f>
        <v>345.789278153858</v>
      </c>
      <c r="G797" s="25" t="n">
        <f aca="false">G796+E797*IF(D797&gt;0,(IF(A797&gt;Penalty!$B$19,Penalty!$I$5,0)+G796)/D797,0)</f>
        <v>46.6815525507708</v>
      </c>
    </row>
    <row r="798" customFormat="false" ht="15" hidden="false" customHeight="false" outlineLevel="0" collapsed="false">
      <c r="A798" s="23" t="n">
        <f aca="false">Penalty!$B$5+794</f>
        <v>46921</v>
      </c>
      <c r="B798" s="24" t="n">
        <f aca="false">IF(YEAR(A798)&gt;2026,Penalty!$B$16/100,IFERROR(INDEX(Rates!$B$4:$E$15,MATCH(YEAR(A798),Rates!$A$4:$A$15,0),ROUNDUP(MONTH(A798)/3,0))/100,0.03))</f>
        <v>0.07</v>
      </c>
      <c r="C798" s="25" t="n">
        <f aca="false">MAX(0,Penalty!$B$4-SUMIFS(Penalty!$C$10:$C$12,Penalty!$B$10:$B$12,"&lt;"&amp;A798))</f>
        <v>12000</v>
      </c>
      <c r="D798" s="25" t="n">
        <f aca="false">IF(A798&lt;=Penalty!$B$8,C798+F797+IF(A798&gt;Penalty!$B$19,Penalty!$I$5,0)+G797,0)</f>
        <v>0</v>
      </c>
      <c r="E798" s="26" t="n">
        <f aca="false">D798*B798/365</f>
        <v>0</v>
      </c>
      <c r="F798" s="25" t="n">
        <f aca="false">F797+E798*(1-IF(D798&gt;0,(IF(A798&gt;Penalty!$B$19,Penalty!$I$5,0)+G797)/D798,0))</f>
        <v>345.789278153858</v>
      </c>
      <c r="G798" s="25" t="n">
        <f aca="false">G797+E798*IF(D798&gt;0,(IF(A798&gt;Penalty!$B$19,Penalty!$I$5,0)+G797)/D798,0)</f>
        <v>46.6815525507708</v>
      </c>
    </row>
    <row r="799" customFormat="false" ht="15" hidden="false" customHeight="false" outlineLevel="0" collapsed="false">
      <c r="A799" s="23" t="n">
        <f aca="false">Penalty!$B$5+795</f>
        <v>46922</v>
      </c>
      <c r="B799" s="24" t="n">
        <f aca="false">IF(YEAR(A799)&gt;2026,Penalty!$B$16/100,IFERROR(INDEX(Rates!$B$4:$E$15,MATCH(YEAR(A799),Rates!$A$4:$A$15,0),ROUNDUP(MONTH(A799)/3,0))/100,0.03))</f>
        <v>0.07</v>
      </c>
      <c r="C799" s="25" t="n">
        <f aca="false">MAX(0,Penalty!$B$4-SUMIFS(Penalty!$C$10:$C$12,Penalty!$B$10:$B$12,"&lt;"&amp;A799))</f>
        <v>12000</v>
      </c>
      <c r="D799" s="25" t="n">
        <f aca="false">IF(A799&lt;=Penalty!$B$8,C799+F798+IF(A799&gt;Penalty!$B$19,Penalty!$I$5,0)+G798,0)</f>
        <v>0</v>
      </c>
      <c r="E799" s="26" t="n">
        <f aca="false">D799*B799/365</f>
        <v>0</v>
      </c>
      <c r="F799" s="25" t="n">
        <f aca="false">F798+E799*(1-IF(D799&gt;0,(IF(A799&gt;Penalty!$B$19,Penalty!$I$5,0)+G798)/D799,0))</f>
        <v>345.789278153858</v>
      </c>
      <c r="G799" s="25" t="n">
        <f aca="false">G798+E799*IF(D799&gt;0,(IF(A799&gt;Penalty!$B$19,Penalty!$I$5,0)+G798)/D799,0)</f>
        <v>46.6815525507708</v>
      </c>
    </row>
    <row r="800" customFormat="false" ht="15" hidden="false" customHeight="false" outlineLevel="0" collapsed="false">
      <c r="A800" s="23" t="n">
        <f aca="false">Penalty!$B$5+796</f>
        <v>46923</v>
      </c>
      <c r="B800" s="24" t="n">
        <f aca="false">IF(YEAR(A800)&gt;2026,Penalty!$B$16/100,IFERROR(INDEX(Rates!$B$4:$E$15,MATCH(YEAR(A800),Rates!$A$4:$A$15,0),ROUNDUP(MONTH(A800)/3,0))/100,0.03))</f>
        <v>0.07</v>
      </c>
      <c r="C800" s="25" t="n">
        <f aca="false">MAX(0,Penalty!$B$4-SUMIFS(Penalty!$C$10:$C$12,Penalty!$B$10:$B$12,"&lt;"&amp;A800))</f>
        <v>12000</v>
      </c>
      <c r="D800" s="25" t="n">
        <f aca="false">IF(A800&lt;=Penalty!$B$8,C800+F799+IF(A800&gt;Penalty!$B$19,Penalty!$I$5,0)+G799,0)</f>
        <v>0</v>
      </c>
      <c r="E800" s="26" t="n">
        <f aca="false">D800*B800/365</f>
        <v>0</v>
      </c>
      <c r="F800" s="25" t="n">
        <f aca="false">F799+E800*(1-IF(D800&gt;0,(IF(A800&gt;Penalty!$B$19,Penalty!$I$5,0)+G799)/D800,0))</f>
        <v>345.789278153858</v>
      </c>
      <c r="G800" s="25" t="n">
        <f aca="false">G799+E800*IF(D800&gt;0,(IF(A800&gt;Penalty!$B$19,Penalty!$I$5,0)+G799)/D800,0)</f>
        <v>46.6815525507708</v>
      </c>
    </row>
    <row r="801" customFormat="false" ht="15" hidden="false" customHeight="false" outlineLevel="0" collapsed="false">
      <c r="A801" s="23" t="n">
        <f aca="false">Penalty!$B$5+797</f>
        <v>46924</v>
      </c>
      <c r="B801" s="24" t="n">
        <f aca="false">IF(YEAR(A801)&gt;2026,Penalty!$B$16/100,IFERROR(INDEX(Rates!$B$4:$E$15,MATCH(YEAR(A801),Rates!$A$4:$A$15,0),ROUNDUP(MONTH(A801)/3,0))/100,0.03))</f>
        <v>0.07</v>
      </c>
      <c r="C801" s="25" t="n">
        <f aca="false">MAX(0,Penalty!$B$4-SUMIFS(Penalty!$C$10:$C$12,Penalty!$B$10:$B$12,"&lt;"&amp;A801))</f>
        <v>12000</v>
      </c>
      <c r="D801" s="25" t="n">
        <f aca="false">IF(A801&lt;=Penalty!$B$8,C801+F800+IF(A801&gt;Penalty!$B$19,Penalty!$I$5,0)+G800,0)</f>
        <v>0</v>
      </c>
      <c r="E801" s="26" t="n">
        <f aca="false">D801*B801/365</f>
        <v>0</v>
      </c>
      <c r="F801" s="25" t="n">
        <f aca="false">F800+E801*(1-IF(D801&gt;0,(IF(A801&gt;Penalty!$B$19,Penalty!$I$5,0)+G800)/D801,0))</f>
        <v>345.789278153858</v>
      </c>
      <c r="G801" s="25" t="n">
        <f aca="false">G800+E801*IF(D801&gt;0,(IF(A801&gt;Penalty!$B$19,Penalty!$I$5,0)+G800)/D801,0)</f>
        <v>46.6815525507708</v>
      </c>
    </row>
    <row r="802" customFormat="false" ht="15" hidden="false" customHeight="false" outlineLevel="0" collapsed="false">
      <c r="A802" s="23" t="n">
        <f aca="false">Penalty!$B$5+798</f>
        <v>46925</v>
      </c>
      <c r="B802" s="24" t="n">
        <f aca="false">IF(YEAR(A802)&gt;2026,Penalty!$B$16/100,IFERROR(INDEX(Rates!$B$4:$E$15,MATCH(YEAR(A802),Rates!$A$4:$A$15,0),ROUNDUP(MONTH(A802)/3,0))/100,0.03))</f>
        <v>0.07</v>
      </c>
      <c r="C802" s="25" t="n">
        <f aca="false">MAX(0,Penalty!$B$4-SUMIFS(Penalty!$C$10:$C$12,Penalty!$B$10:$B$12,"&lt;"&amp;A802))</f>
        <v>12000</v>
      </c>
      <c r="D802" s="25" t="n">
        <f aca="false">IF(A802&lt;=Penalty!$B$8,C802+F801+IF(A802&gt;Penalty!$B$19,Penalty!$I$5,0)+G801,0)</f>
        <v>0</v>
      </c>
      <c r="E802" s="26" t="n">
        <f aca="false">D802*B802/365</f>
        <v>0</v>
      </c>
      <c r="F802" s="25" t="n">
        <f aca="false">F801+E802*(1-IF(D802&gt;0,(IF(A802&gt;Penalty!$B$19,Penalty!$I$5,0)+G801)/D802,0))</f>
        <v>345.789278153858</v>
      </c>
      <c r="G802" s="25" t="n">
        <f aca="false">G801+E802*IF(D802&gt;0,(IF(A802&gt;Penalty!$B$19,Penalty!$I$5,0)+G801)/D802,0)</f>
        <v>46.6815525507708</v>
      </c>
    </row>
    <row r="803" customFormat="false" ht="15" hidden="false" customHeight="false" outlineLevel="0" collapsed="false">
      <c r="A803" s="23" t="n">
        <f aca="false">Penalty!$B$5+799</f>
        <v>46926</v>
      </c>
      <c r="B803" s="24" t="n">
        <f aca="false">IF(YEAR(A803)&gt;2026,Penalty!$B$16/100,IFERROR(INDEX(Rates!$B$4:$E$15,MATCH(YEAR(A803),Rates!$A$4:$A$15,0),ROUNDUP(MONTH(A803)/3,0))/100,0.03))</f>
        <v>0.07</v>
      </c>
      <c r="C803" s="25" t="n">
        <f aca="false">MAX(0,Penalty!$B$4-SUMIFS(Penalty!$C$10:$C$12,Penalty!$B$10:$B$12,"&lt;"&amp;A803))</f>
        <v>12000</v>
      </c>
      <c r="D803" s="25" t="n">
        <f aca="false">IF(A803&lt;=Penalty!$B$8,C803+F802+IF(A803&gt;Penalty!$B$19,Penalty!$I$5,0)+G802,0)</f>
        <v>0</v>
      </c>
      <c r="E803" s="26" t="n">
        <f aca="false">D803*B803/365</f>
        <v>0</v>
      </c>
      <c r="F803" s="25" t="n">
        <f aca="false">F802+E803*(1-IF(D803&gt;0,(IF(A803&gt;Penalty!$B$19,Penalty!$I$5,0)+G802)/D803,0))</f>
        <v>345.789278153858</v>
      </c>
      <c r="G803" s="25" t="n">
        <f aca="false">G802+E803*IF(D803&gt;0,(IF(A803&gt;Penalty!$B$19,Penalty!$I$5,0)+G802)/D803,0)</f>
        <v>46.6815525507708</v>
      </c>
    </row>
    <row r="804" customFormat="false" ht="15" hidden="false" customHeight="false" outlineLevel="0" collapsed="false">
      <c r="A804" s="23" t="n">
        <f aca="false">Penalty!$B$5+800</f>
        <v>46927</v>
      </c>
      <c r="B804" s="24" t="n">
        <f aca="false">IF(YEAR(A804)&gt;2026,Penalty!$B$16/100,IFERROR(INDEX(Rates!$B$4:$E$15,MATCH(YEAR(A804),Rates!$A$4:$A$15,0),ROUNDUP(MONTH(A804)/3,0))/100,0.03))</f>
        <v>0.07</v>
      </c>
      <c r="C804" s="25" t="n">
        <f aca="false">MAX(0,Penalty!$B$4-SUMIFS(Penalty!$C$10:$C$12,Penalty!$B$10:$B$12,"&lt;"&amp;A804))</f>
        <v>12000</v>
      </c>
      <c r="D804" s="25" t="n">
        <f aca="false">IF(A804&lt;=Penalty!$B$8,C804+F803+IF(A804&gt;Penalty!$B$19,Penalty!$I$5,0)+G803,0)</f>
        <v>0</v>
      </c>
      <c r="E804" s="26" t="n">
        <f aca="false">D804*B804/365</f>
        <v>0</v>
      </c>
      <c r="F804" s="25" t="n">
        <f aca="false">F803+E804*(1-IF(D804&gt;0,(IF(A804&gt;Penalty!$B$19,Penalty!$I$5,0)+G803)/D804,0))</f>
        <v>345.789278153858</v>
      </c>
      <c r="G804" s="25" t="n">
        <f aca="false">G803+E804*IF(D804&gt;0,(IF(A804&gt;Penalty!$B$19,Penalty!$I$5,0)+G803)/D804,0)</f>
        <v>46.6815525507708</v>
      </c>
    </row>
    <row r="805" customFormat="false" ht="15" hidden="false" customHeight="false" outlineLevel="0" collapsed="false">
      <c r="A805" s="23" t="n">
        <f aca="false">Penalty!$B$5+801</f>
        <v>46928</v>
      </c>
      <c r="B805" s="24" t="n">
        <f aca="false">IF(YEAR(A805)&gt;2026,Penalty!$B$16/100,IFERROR(INDEX(Rates!$B$4:$E$15,MATCH(YEAR(A805),Rates!$A$4:$A$15,0),ROUNDUP(MONTH(A805)/3,0))/100,0.03))</f>
        <v>0.07</v>
      </c>
      <c r="C805" s="25" t="n">
        <f aca="false">MAX(0,Penalty!$B$4-SUMIFS(Penalty!$C$10:$C$12,Penalty!$B$10:$B$12,"&lt;"&amp;A805))</f>
        <v>12000</v>
      </c>
      <c r="D805" s="25" t="n">
        <f aca="false">IF(A805&lt;=Penalty!$B$8,C805+F804+IF(A805&gt;Penalty!$B$19,Penalty!$I$5,0)+G804,0)</f>
        <v>0</v>
      </c>
      <c r="E805" s="26" t="n">
        <f aca="false">D805*B805/365</f>
        <v>0</v>
      </c>
      <c r="F805" s="25" t="n">
        <f aca="false">F804+E805*(1-IF(D805&gt;0,(IF(A805&gt;Penalty!$B$19,Penalty!$I$5,0)+G804)/D805,0))</f>
        <v>345.789278153858</v>
      </c>
      <c r="G805" s="25" t="n">
        <f aca="false">G804+E805*IF(D805&gt;0,(IF(A805&gt;Penalty!$B$19,Penalty!$I$5,0)+G804)/D805,0)</f>
        <v>46.6815525507708</v>
      </c>
    </row>
    <row r="806" customFormat="false" ht="15" hidden="false" customHeight="false" outlineLevel="0" collapsed="false">
      <c r="A806" s="23" t="n">
        <f aca="false">Penalty!$B$5+802</f>
        <v>46929</v>
      </c>
      <c r="B806" s="24" t="n">
        <f aca="false">IF(YEAR(A806)&gt;2026,Penalty!$B$16/100,IFERROR(INDEX(Rates!$B$4:$E$15,MATCH(YEAR(A806),Rates!$A$4:$A$15,0),ROUNDUP(MONTH(A806)/3,0))/100,0.03))</f>
        <v>0.07</v>
      </c>
      <c r="C806" s="25" t="n">
        <f aca="false">MAX(0,Penalty!$B$4-SUMIFS(Penalty!$C$10:$C$12,Penalty!$B$10:$B$12,"&lt;"&amp;A806))</f>
        <v>12000</v>
      </c>
      <c r="D806" s="25" t="n">
        <f aca="false">IF(A806&lt;=Penalty!$B$8,C806+F805+IF(A806&gt;Penalty!$B$19,Penalty!$I$5,0)+G805,0)</f>
        <v>0</v>
      </c>
      <c r="E806" s="26" t="n">
        <f aca="false">D806*B806/365</f>
        <v>0</v>
      </c>
      <c r="F806" s="25" t="n">
        <f aca="false">F805+E806*(1-IF(D806&gt;0,(IF(A806&gt;Penalty!$B$19,Penalty!$I$5,0)+G805)/D806,0))</f>
        <v>345.789278153858</v>
      </c>
      <c r="G806" s="25" t="n">
        <f aca="false">G805+E806*IF(D806&gt;0,(IF(A806&gt;Penalty!$B$19,Penalty!$I$5,0)+G805)/D806,0)</f>
        <v>46.6815525507708</v>
      </c>
    </row>
    <row r="807" customFormat="false" ht="15" hidden="false" customHeight="false" outlineLevel="0" collapsed="false">
      <c r="A807" s="23" t="n">
        <f aca="false">Penalty!$B$5+803</f>
        <v>46930</v>
      </c>
      <c r="B807" s="24" t="n">
        <f aca="false">IF(YEAR(A807)&gt;2026,Penalty!$B$16/100,IFERROR(INDEX(Rates!$B$4:$E$15,MATCH(YEAR(A807),Rates!$A$4:$A$15,0),ROUNDUP(MONTH(A807)/3,0))/100,0.03))</f>
        <v>0.07</v>
      </c>
      <c r="C807" s="25" t="n">
        <f aca="false">MAX(0,Penalty!$B$4-SUMIFS(Penalty!$C$10:$C$12,Penalty!$B$10:$B$12,"&lt;"&amp;A807))</f>
        <v>12000</v>
      </c>
      <c r="D807" s="25" t="n">
        <f aca="false">IF(A807&lt;=Penalty!$B$8,C807+F806+IF(A807&gt;Penalty!$B$19,Penalty!$I$5,0)+G806,0)</f>
        <v>0</v>
      </c>
      <c r="E807" s="26" t="n">
        <f aca="false">D807*B807/365</f>
        <v>0</v>
      </c>
      <c r="F807" s="25" t="n">
        <f aca="false">F806+E807*(1-IF(D807&gt;0,(IF(A807&gt;Penalty!$B$19,Penalty!$I$5,0)+G806)/D807,0))</f>
        <v>345.789278153858</v>
      </c>
      <c r="G807" s="25" t="n">
        <f aca="false">G806+E807*IF(D807&gt;0,(IF(A807&gt;Penalty!$B$19,Penalty!$I$5,0)+G806)/D807,0)</f>
        <v>46.6815525507708</v>
      </c>
    </row>
    <row r="808" customFormat="false" ht="15" hidden="false" customHeight="false" outlineLevel="0" collapsed="false">
      <c r="A808" s="23" t="n">
        <f aca="false">Penalty!$B$5+804</f>
        <v>46931</v>
      </c>
      <c r="B808" s="24" t="n">
        <f aca="false">IF(YEAR(A808)&gt;2026,Penalty!$B$16/100,IFERROR(INDEX(Rates!$B$4:$E$15,MATCH(YEAR(A808),Rates!$A$4:$A$15,0),ROUNDUP(MONTH(A808)/3,0))/100,0.03))</f>
        <v>0.07</v>
      </c>
      <c r="C808" s="25" t="n">
        <f aca="false">MAX(0,Penalty!$B$4-SUMIFS(Penalty!$C$10:$C$12,Penalty!$B$10:$B$12,"&lt;"&amp;A808))</f>
        <v>12000</v>
      </c>
      <c r="D808" s="25" t="n">
        <f aca="false">IF(A808&lt;=Penalty!$B$8,C808+F807+IF(A808&gt;Penalty!$B$19,Penalty!$I$5,0)+G807,0)</f>
        <v>0</v>
      </c>
      <c r="E808" s="26" t="n">
        <f aca="false">D808*B808/365</f>
        <v>0</v>
      </c>
      <c r="F808" s="25" t="n">
        <f aca="false">F807+E808*(1-IF(D808&gt;0,(IF(A808&gt;Penalty!$B$19,Penalty!$I$5,0)+G807)/D808,0))</f>
        <v>345.789278153858</v>
      </c>
      <c r="G808" s="25" t="n">
        <f aca="false">G807+E808*IF(D808&gt;0,(IF(A808&gt;Penalty!$B$19,Penalty!$I$5,0)+G807)/D808,0)</f>
        <v>46.6815525507708</v>
      </c>
    </row>
    <row r="809" customFormat="false" ht="15" hidden="false" customHeight="false" outlineLevel="0" collapsed="false">
      <c r="A809" s="23" t="n">
        <f aca="false">Penalty!$B$5+805</f>
        <v>46932</v>
      </c>
      <c r="B809" s="24" t="n">
        <f aca="false">IF(YEAR(A809)&gt;2026,Penalty!$B$16/100,IFERROR(INDEX(Rates!$B$4:$E$15,MATCH(YEAR(A809),Rates!$A$4:$A$15,0),ROUNDUP(MONTH(A809)/3,0))/100,0.03))</f>
        <v>0.07</v>
      </c>
      <c r="C809" s="25" t="n">
        <f aca="false">MAX(0,Penalty!$B$4-SUMIFS(Penalty!$C$10:$C$12,Penalty!$B$10:$B$12,"&lt;"&amp;A809))</f>
        <v>12000</v>
      </c>
      <c r="D809" s="25" t="n">
        <f aca="false">IF(A809&lt;=Penalty!$B$8,C809+F808+IF(A809&gt;Penalty!$B$19,Penalty!$I$5,0)+G808,0)</f>
        <v>0</v>
      </c>
      <c r="E809" s="26" t="n">
        <f aca="false">D809*B809/365</f>
        <v>0</v>
      </c>
      <c r="F809" s="25" t="n">
        <f aca="false">F808+E809*(1-IF(D809&gt;0,(IF(A809&gt;Penalty!$B$19,Penalty!$I$5,0)+G808)/D809,0))</f>
        <v>345.789278153858</v>
      </c>
      <c r="G809" s="25" t="n">
        <f aca="false">G808+E809*IF(D809&gt;0,(IF(A809&gt;Penalty!$B$19,Penalty!$I$5,0)+G808)/D809,0)</f>
        <v>46.6815525507708</v>
      </c>
    </row>
    <row r="810" customFormat="false" ht="15" hidden="false" customHeight="false" outlineLevel="0" collapsed="false">
      <c r="A810" s="23" t="n">
        <f aca="false">Penalty!$B$5+806</f>
        <v>46933</v>
      </c>
      <c r="B810" s="24" t="n">
        <f aca="false">IF(YEAR(A810)&gt;2026,Penalty!$B$16/100,IFERROR(INDEX(Rates!$B$4:$E$15,MATCH(YEAR(A810),Rates!$A$4:$A$15,0),ROUNDUP(MONTH(A810)/3,0))/100,0.03))</f>
        <v>0.07</v>
      </c>
      <c r="C810" s="25" t="n">
        <f aca="false">MAX(0,Penalty!$B$4-SUMIFS(Penalty!$C$10:$C$12,Penalty!$B$10:$B$12,"&lt;"&amp;A810))</f>
        <v>12000</v>
      </c>
      <c r="D810" s="25" t="n">
        <f aca="false">IF(A810&lt;=Penalty!$B$8,C810+F809+IF(A810&gt;Penalty!$B$19,Penalty!$I$5,0)+G809,0)</f>
        <v>0</v>
      </c>
      <c r="E810" s="26" t="n">
        <f aca="false">D810*B810/365</f>
        <v>0</v>
      </c>
      <c r="F810" s="25" t="n">
        <f aca="false">F809+E810*(1-IF(D810&gt;0,(IF(A810&gt;Penalty!$B$19,Penalty!$I$5,0)+G809)/D810,0))</f>
        <v>345.789278153858</v>
      </c>
      <c r="G810" s="25" t="n">
        <f aca="false">G809+E810*IF(D810&gt;0,(IF(A810&gt;Penalty!$B$19,Penalty!$I$5,0)+G809)/D810,0)</f>
        <v>46.6815525507708</v>
      </c>
    </row>
    <row r="811" customFormat="false" ht="15" hidden="false" customHeight="false" outlineLevel="0" collapsed="false">
      <c r="A811" s="23" t="n">
        <f aca="false">Penalty!$B$5+807</f>
        <v>46934</v>
      </c>
      <c r="B811" s="24" t="n">
        <f aca="false">IF(YEAR(A811)&gt;2026,Penalty!$B$16/100,IFERROR(INDEX(Rates!$B$4:$E$15,MATCH(YEAR(A811),Rates!$A$4:$A$15,0),ROUNDUP(MONTH(A811)/3,0))/100,0.03))</f>
        <v>0.07</v>
      </c>
      <c r="C811" s="25" t="n">
        <f aca="false">MAX(0,Penalty!$B$4-SUMIFS(Penalty!$C$10:$C$12,Penalty!$B$10:$B$12,"&lt;"&amp;A811))</f>
        <v>12000</v>
      </c>
      <c r="D811" s="25" t="n">
        <f aca="false">IF(A811&lt;=Penalty!$B$8,C811+F810+IF(A811&gt;Penalty!$B$19,Penalty!$I$5,0)+G810,0)</f>
        <v>0</v>
      </c>
      <c r="E811" s="26" t="n">
        <f aca="false">D811*B811/365</f>
        <v>0</v>
      </c>
      <c r="F811" s="25" t="n">
        <f aca="false">F810+E811*(1-IF(D811&gt;0,(IF(A811&gt;Penalty!$B$19,Penalty!$I$5,0)+G810)/D811,0))</f>
        <v>345.789278153858</v>
      </c>
      <c r="G811" s="25" t="n">
        <f aca="false">G810+E811*IF(D811&gt;0,(IF(A811&gt;Penalty!$B$19,Penalty!$I$5,0)+G810)/D811,0)</f>
        <v>46.6815525507708</v>
      </c>
    </row>
    <row r="812" customFormat="false" ht="15" hidden="false" customHeight="false" outlineLevel="0" collapsed="false">
      <c r="A812" s="23" t="n">
        <f aca="false">Penalty!$B$5+808</f>
        <v>46935</v>
      </c>
      <c r="B812" s="24" t="n">
        <f aca="false">IF(YEAR(A812)&gt;2026,Penalty!$B$16/100,IFERROR(INDEX(Rates!$B$4:$E$15,MATCH(YEAR(A812),Rates!$A$4:$A$15,0),ROUNDUP(MONTH(A812)/3,0))/100,0.03))</f>
        <v>0.07</v>
      </c>
      <c r="C812" s="25" t="n">
        <f aca="false">MAX(0,Penalty!$B$4-SUMIFS(Penalty!$C$10:$C$12,Penalty!$B$10:$B$12,"&lt;"&amp;A812))</f>
        <v>12000</v>
      </c>
      <c r="D812" s="25" t="n">
        <f aca="false">IF(A812&lt;=Penalty!$B$8,C812+F811+IF(A812&gt;Penalty!$B$19,Penalty!$I$5,0)+G811,0)</f>
        <v>0</v>
      </c>
      <c r="E812" s="26" t="n">
        <f aca="false">D812*B812/365</f>
        <v>0</v>
      </c>
      <c r="F812" s="25" t="n">
        <f aca="false">F811+E812*(1-IF(D812&gt;0,(IF(A812&gt;Penalty!$B$19,Penalty!$I$5,0)+G811)/D812,0))</f>
        <v>345.789278153858</v>
      </c>
      <c r="G812" s="25" t="n">
        <f aca="false">G811+E812*IF(D812&gt;0,(IF(A812&gt;Penalty!$B$19,Penalty!$I$5,0)+G811)/D812,0)</f>
        <v>46.6815525507708</v>
      </c>
    </row>
    <row r="813" customFormat="false" ht="15" hidden="false" customHeight="false" outlineLevel="0" collapsed="false">
      <c r="A813" s="23" t="n">
        <f aca="false">Penalty!$B$5+809</f>
        <v>46936</v>
      </c>
      <c r="B813" s="24" t="n">
        <f aca="false">IF(YEAR(A813)&gt;2026,Penalty!$B$16/100,IFERROR(INDEX(Rates!$B$4:$E$15,MATCH(YEAR(A813),Rates!$A$4:$A$15,0),ROUNDUP(MONTH(A813)/3,0))/100,0.03))</f>
        <v>0.07</v>
      </c>
      <c r="C813" s="25" t="n">
        <f aca="false">MAX(0,Penalty!$B$4-SUMIFS(Penalty!$C$10:$C$12,Penalty!$B$10:$B$12,"&lt;"&amp;A813))</f>
        <v>12000</v>
      </c>
      <c r="D813" s="25" t="n">
        <f aca="false">IF(A813&lt;=Penalty!$B$8,C813+F812+IF(A813&gt;Penalty!$B$19,Penalty!$I$5,0)+G812,0)</f>
        <v>0</v>
      </c>
      <c r="E813" s="26" t="n">
        <f aca="false">D813*B813/365</f>
        <v>0</v>
      </c>
      <c r="F813" s="25" t="n">
        <f aca="false">F812+E813*(1-IF(D813&gt;0,(IF(A813&gt;Penalty!$B$19,Penalty!$I$5,0)+G812)/D813,0))</f>
        <v>345.789278153858</v>
      </c>
      <c r="G813" s="25" t="n">
        <f aca="false">G812+E813*IF(D813&gt;0,(IF(A813&gt;Penalty!$B$19,Penalty!$I$5,0)+G812)/D813,0)</f>
        <v>46.6815525507708</v>
      </c>
    </row>
    <row r="814" customFormat="false" ht="15" hidden="false" customHeight="false" outlineLevel="0" collapsed="false">
      <c r="A814" s="23" t="n">
        <f aca="false">Penalty!$B$5+810</f>
        <v>46937</v>
      </c>
      <c r="B814" s="24" t="n">
        <f aca="false">IF(YEAR(A814)&gt;2026,Penalty!$B$16/100,IFERROR(INDEX(Rates!$B$4:$E$15,MATCH(YEAR(A814),Rates!$A$4:$A$15,0),ROUNDUP(MONTH(A814)/3,0))/100,0.03))</f>
        <v>0.07</v>
      </c>
      <c r="C814" s="25" t="n">
        <f aca="false">MAX(0,Penalty!$B$4-SUMIFS(Penalty!$C$10:$C$12,Penalty!$B$10:$B$12,"&lt;"&amp;A814))</f>
        <v>12000</v>
      </c>
      <c r="D814" s="25" t="n">
        <f aca="false">IF(A814&lt;=Penalty!$B$8,C814+F813+IF(A814&gt;Penalty!$B$19,Penalty!$I$5,0)+G813,0)</f>
        <v>0</v>
      </c>
      <c r="E814" s="26" t="n">
        <f aca="false">D814*B814/365</f>
        <v>0</v>
      </c>
      <c r="F814" s="25" t="n">
        <f aca="false">F813+E814*(1-IF(D814&gt;0,(IF(A814&gt;Penalty!$B$19,Penalty!$I$5,0)+G813)/D814,0))</f>
        <v>345.789278153858</v>
      </c>
      <c r="G814" s="25" t="n">
        <f aca="false">G813+E814*IF(D814&gt;0,(IF(A814&gt;Penalty!$B$19,Penalty!$I$5,0)+G813)/D814,0)</f>
        <v>46.6815525507708</v>
      </c>
    </row>
    <row r="815" customFormat="false" ht="15" hidden="false" customHeight="false" outlineLevel="0" collapsed="false">
      <c r="A815" s="23" t="n">
        <f aca="false">Penalty!$B$5+811</f>
        <v>46938</v>
      </c>
      <c r="B815" s="24" t="n">
        <f aca="false">IF(YEAR(A815)&gt;2026,Penalty!$B$16/100,IFERROR(INDEX(Rates!$B$4:$E$15,MATCH(YEAR(A815),Rates!$A$4:$A$15,0),ROUNDUP(MONTH(A815)/3,0))/100,0.03))</f>
        <v>0.07</v>
      </c>
      <c r="C815" s="25" t="n">
        <f aca="false">MAX(0,Penalty!$B$4-SUMIFS(Penalty!$C$10:$C$12,Penalty!$B$10:$B$12,"&lt;"&amp;A815))</f>
        <v>12000</v>
      </c>
      <c r="D815" s="25" t="n">
        <f aca="false">IF(A815&lt;=Penalty!$B$8,C815+F814+IF(A815&gt;Penalty!$B$19,Penalty!$I$5,0)+G814,0)</f>
        <v>0</v>
      </c>
      <c r="E815" s="26" t="n">
        <f aca="false">D815*B815/365</f>
        <v>0</v>
      </c>
      <c r="F815" s="25" t="n">
        <f aca="false">F814+E815*(1-IF(D815&gt;0,(IF(A815&gt;Penalty!$B$19,Penalty!$I$5,0)+G814)/D815,0))</f>
        <v>345.789278153858</v>
      </c>
      <c r="G815" s="25" t="n">
        <f aca="false">G814+E815*IF(D815&gt;0,(IF(A815&gt;Penalty!$B$19,Penalty!$I$5,0)+G814)/D815,0)</f>
        <v>46.6815525507708</v>
      </c>
    </row>
    <row r="816" customFormat="false" ht="15" hidden="false" customHeight="false" outlineLevel="0" collapsed="false">
      <c r="A816" s="23" t="n">
        <f aca="false">Penalty!$B$5+812</f>
        <v>46939</v>
      </c>
      <c r="B816" s="24" t="n">
        <f aca="false">IF(YEAR(A816)&gt;2026,Penalty!$B$16/100,IFERROR(INDEX(Rates!$B$4:$E$15,MATCH(YEAR(A816),Rates!$A$4:$A$15,0),ROUNDUP(MONTH(A816)/3,0))/100,0.03))</f>
        <v>0.07</v>
      </c>
      <c r="C816" s="25" t="n">
        <f aca="false">MAX(0,Penalty!$B$4-SUMIFS(Penalty!$C$10:$C$12,Penalty!$B$10:$B$12,"&lt;"&amp;A816))</f>
        <v>12000</v>
      </c>
      <c r="D816" s="25" t="n">
        <f aca="false">IF(A816&lt;=Penalty!$B$8,C816+F815+IF(A816&gt;Penalty!$B$19,Penalty!$I$5,0)+G815,0)</f>
        <v>0</v>
      </c>
      <c r="E816" s="26" t="n">
        <f aca="false">D816*B816/365</f>
        <v>0</v>
      </c>
      <c r="F816" s="25" t="n">
        <f aca="false">F815+E816*(1-IF(D816&gt;0,(IF(A816&gt;Penalty!$B$19,Penalty!$I$5,0)+G815)/D816,0))</f>
        <v>345.789278153858</v>
      </c>
      <c r="G816" s="25" t="n">
        <f aca="false">G815+E816*IF(D816&gt;0,(IF(A816&gt;Penalty!$B$19,Penalty!$I$5,0)+G815)/D816,0)</f>
        <v>46.6815525507708</v>
      </c>
    </row>
    <row r="817" customFormat="false" ht="15" hidden="false" customHeight="false" outlineLevel="0" collapsed="false">
      <c r="A817" s="23" t="n">
        <f aca="false">Penalty!$B$5+813</f>
        <v>46940</v>
      </c>
      <c r="B817" s="24" t="n">
        <f aca="false">IF(YEAR(A817)&gt;2026,Penalty!$B$16/100,IFERROR(INDEX(Rates!$B$4:$E$15,MATCH(YEAR(A817),Rates!$A$4:$A$15,0),ROUNDUP(MONTH(A817)/3,0))/100,0.03))</f>
        <v>0.07</v>
      </c>
      <c r="C817" s="25" t="n">
        <f aca="false">MAX(0,Penalty!$B$4-SUMIFS(Penalty!$C$10:$C$12,Penalty!$B$10:$B$12,"&lt;"&amp;A817))</f>
        <v>12000</v>
      </c>
      <c r="D817" s="25" t="n">
        <f aca="false">IF(A817&lt;=Penalty!$B$8,C817+F816+IF(A817&gt;Penalty!$B$19,Penalty!$I$5,0)+G816,0)</f>
        <v>0</v>
      </c>
      <c r="E817" s="26" t="n">
        <f aca="false">D817*B817/365</f>
        <v>0</v>
      </c>
      <c r="F817" s="25" t="n">
        <f aca="false">F816+E817*(1-IF(D817&gt;0,(IF(A817&gt;Penalty!$B$19,Penalty!$I$5,0)+G816)/D817,0))</f>
        <v>345.789278153858</v>
      </c>
      <c r="G817" s="25" t="n">
        <f aca="false">G816+E817*IF(D817&gt;0,(IF(A817&gt;Penalty!$B$19,Penalty!$I$5,0)+G816)/D817,0)</f>
        <v>46.6815525507708</v>
      </c>
    </row>
    <row r="818" customFormat="false" ht="15" hidden="false" customHeight="false" outlineLevel="0" collapsed="false">
      <c r="A818" s="23" t="n">
        <f aca="false">Penalty!$B$5+814</f>
        <v>46941</v>
      </c>
      <c r="B818" s="24" t="n">
        <f aca="false">IF(YEAR(A818)&gt;2026,Penalty!$B$16/100,IFERROR(INDEX(Rates!$B$4:$E$15,MATCH(YEAR(A818),Rates!$A$4:$A$15,0),ROUNDUP(MONTH(A818)/3,0))/100,0.03))</f>
        <v>0.07</v>
      </c>
      <c r="C818" s="25" t="n">
        <f aca="false">MAX(0,Penalty!$B$4-SUMIFS(Penalty!$C$10:$C$12,Penalty!$B$10:$B$12,"&lt;"&amp;A818))</f>
        <v>12000</v>
      </c>
      <c r="D818" s="25" t="n">
        <f aca="false">IF(A818&lt;=Penalty!$B$8,C818+F817+IF(A818&gt;Penalty!$B$19,Penalty!$I$5,0)+G817,0)</f>
        <v>0</v>
      </c>
      <c r="E818" s="26" t="n">
        <f aca="false">D818*B818/365</f>
        <v>0</v>
      </c>
      <c r="F818" s="25" t="n">
        <f aca="false">F817+E818*(1-IF(D818&gt;0,(IF(A818&gt;Penalty!$B$19,Penalty!$I$5,0)+G817)/D818,0))</f>
        <v>345.789278153858</v>
      </c>
      <c r="G818" s="25" t="n">
        <f aca="false">G817+E818*IF(D818&gt;0,(IF(A818&gt;Penalty!$B$19,Penalty!$I$5,0)+G817)/D818,0)</f>
        <v>46.6815525507708</v>
      </c>
    </row>
    <row r="819" customFormat="false" ht="15" hidden="false" customHeight="false" outlineLevel="0" collapsed="false">
      <c r="A819" s="23" t="n">
        <f aca="false">Penalty!$B$5+815</f>
        <v>46942</v>
      </c>
      <c r="B819" s="24" t="n">
        <f aca="false">IF(YEAR(A819)&gt;2026,Penalty!$B$16/100,IFERROR(INDEX(Rates!$B$4:$E$15,MATCH(YEAR(A819),Rates!$A$4:$A$15,0),ROUNDUP(MONTH(A819)/3,0))/100,0.03))</f>
        <v>0.07</v>
      </c>
      <c r="C819" s="25" t="n">
        <f aca="false">MAX(0,Penalty!$B$4-SUMIFS(Penalty!$C$10:$C$12,Penalty!$B$10:$B$12,"&lt;"&amp;A819))</f>
        <v>12000</v>
      </c>
      <c r="D819" s="25" t="n">
        <f aca="false">IF(A819&lt;=Penalty!$B$8,C819+F818+IF(A819&gt;Penalty!$B$19,Penalty!$I$5,0)+G818,0)</f>
        <v>0</v>
      </c>
      <c r="E819" s="26" t="n">
        <f aca="false">D819*B819/365</f>
        <v>0</v>
      </c>
      <c r="F819" s="25" t="n">
        <f aca="false">F818+E819*(1-IF(D819&gt;0,(IF(A819&gt;Penalty!$B$19,Penalty!$I$5,0)+G818)/D819,0))</f>
        <v>345.789278153858</v>
      </c>
      <c r="G819" s="25" t="n">
        <f aca="false">G818+E819*IF(D819&gt;0,(IF(A819&gt;Penalty!$B$19,Penalty!$I$5,0)+G818)/D819,0)</f>
        <v>46.6815525507708</v>
      </c>
    </row>
    <row r="820" customFormat="false" ht="15" hidden="false" customHeight="false" outlineLevel="0" collapsed="false">
      <c r="A820" s="23" t="n">
        <f aca="false">Penalty!$B$5+816</f>
        <v>46943</v>
      </c>
      <c r="B820" s="24" t="n">
        <f aca="false">IF(YEAR(A820)&gt;2026,Penalty!$B$16/100,IFERROR(INDEX(Rates!$B$4:$E$15,MATCH(YEAR(A820),Rates!$A$4:$A$15,0),ROUNDUP(MONTH(A820)/3,0))/100,0.03))</f>
        <v>0.07</v>
      </c>
      <c r="C820" s="25" t="n">
        <f aca="false">MAX(0,Penalty!$B$4-SUMIFS(Penalty!$C$10:$C$12,Penalty!$B$10:$B$12,"&lt;"&amp;A820))</f>
        <v>12000</v>
      </c>
      <c r="D820" s="25" t="n">
        <f aca="false">IF(A820&lt;=Penalty!$B$8,C820+F819+IF(A820&gt;Penalty!$B$19,Penalty!$I$5,0)+G819,0)</f>
        <v>0</v>
      </c>
      <c r="E820" s="26" t="n">
        <f aca="false">D820*B820/365</f>
        <v>0</v>
      </c>
      <c r="F820" s="25" t="n">
        <f aca="false">F819+E820*(1-IF(D820&gt;0,(IF(A820&gt;Penalty!$B$19,Penalty!$I$5,0)+G819)/D820,0))</f>
        <v>345.789278153858</v>
      </c>
      <c r="G820" s="25" t="n">
        <f aca="false">G819+E820*IF(D820&gt;0,(IF(A820&gt;Penalty!$B$19,Penalty!$I$5,0)+G819)/D820,0)</f>
        <v>46.6815525507708</v>
      </c>
    </row>
    <row r="821" customFormat="false" ht="15" hidden="false" customHeight="false" outlineLevel="0" collapsed="false">
      <c r="A821" s="23" t="n">
        <f aca="false">Penalty!$B$5+817</f>
        <v>46944</v>
      </c>
      <c r="B821" s="24" t="n">
        <f aca="false">IF(YEAR(A821)&gt;2026,Penalty!$B$16/100,IFERROR(INDEX(Rates!$B$4:$E$15,MATCH(YEAR(A821),Rates!$A$4:$A$15,0),ROUNDUP(MONTH(A821)/3,0))/100,0.03))</f>
        <v>0.07</v>
      </c>
      <c r="C821" s="25" t="n">
        <f aca="false">MAX(0,Penalty!$B$4-SUMIFS(Penalty!$C$10:$C$12,Penalty!$B$10:$B$12,"&lt;"&amp;A821))</f>
        <v>12000</v>
      </c>
      <c r="D821" s="25" t="n">
        <f aca="false">IF(A821&lt;=Penalty!$B$8,C821+F820+IF(A821&gt;Penalty!$B$19,Penalty!$I$5,0)+G820,0)</f>
        <v>0</v>
      </c>
      <c r="E821" s="26" t="n">
        <f aca="false">D821*B821/365</f>
        <v>0</v>
      </c>
      <c r="F821" s="25" t="n">
        <f aca="false">F820+E821*(1-IF(D821&gt;0,(IF(A821&gt;Penalty!$B$19,Penalty!$I$5,0)+G820)/D821,0))</f>
        <v>345.789278153858</v>
      </c>
      <c r="G821" s="25" t="n">
        <f aca="false">G820+E821*IF(D821&gt;0,(IF(A821&gt;Penalty!$B$19,Penalty!$I$5,0)+G820)/D821,0)</f>
        <v>46.6815525507708</v>
      </c>
    </row>
    <row r="822" customFormat="false" ht="15" hidden="false" customHeight="false" outlineLevel="0" collapsed="false">
      <c r="A822" s="23" t="n">
        <f aca="false">Penalty!$B$5+818</f>
        <v>46945</v>
      </c>
      <c r="B822" s="24" t="n">
        <f aca="false">IF(YEAR(A822)&gt;2026,Penalty!$B$16/100,IFERROR(INDEX(Rates!$B$4:$E$15,MATCH(YEAR(A822),Rates!$A$4:$A$15,0),ROUNDUP(MONTH(A822)/3,0))/100,0.03))</f>
        <v>0.07</v>
      </c>
      <c r="C822" s="25" t="n">
        <f aca="false">MAX(0,Penalty!$B$4-SUMIFS(Penalty!$C$10:$C$12,Penalty!$B$10:$B$12,"&lt;"&amp;A822))</f>
        <v>12000</v>
      </c>
      <c r="D822" s="25" t="n">
        <f aca="false">IF(A822&lt;=Penalty!$B$8,C822+F821+IF(A822&gt;Penalty!$B$19,Penalty!$I$5,0)+G821,0)</f>
        <v>0</v>
      </c>
      <c r="E822" s="26" t="n">
        <f aca="false">D822*B822/365</f>
        <v>0</v>
      </c>
      <c r="F822" s="25" t="n">
        <f aca="false">F821+E822*(1-IF(D822&gt;0,(IF(A822&gt;Penalty!$B$19,Penalty!$I$5,0)+G821)/D822,0))</f>
        <v>345.789278153858</v>
      </c>
      <c r="G822" s="25" t="n">
        <f aca="false">G821+E822*IF(D822&gt;0,(IF(A822&gt;Penalty!$B$19,Penalty!$I$5,0)+G821)/D822,0)</f>
        <v>46.6815525507708</v>
      </c>
    </row>
    <row r="823" customFormat="false" ht="15" hidden="false" customHeight="false" outlineLevel="0" collapsed="false">
      <c r="A823" s="23" t="n">
        <f aca="false">Penalty!$B$5+819</f>
        <v>46946</v>
      </c>
      <c r="B823" s="24" t="n">
        <f aca="false">IF(YEAR(A823)&gt;2026,Penalty!$B$16/100,IFERROR(INDEX(Rates!$B$4:$E$15,MATCH(YEAR(A823),Rates!$A$4:$A$15,0),ROUNDUP(MONTH(A823)/3,0))/100,0.03))</f>
        <v>0.07</v>
      </c>
      <c r="C823" s="25" t="n">
        <f aca="false">MAX(0,Penalty!$B$4-SUMIFS(Penalty!$C$10:$C$12,Penalty!$B$10:$B$12,"&lt;"&amp;A823))</f>
        <v>12000</v>
      </c>
      <c r="D823" s="25" t="n">
        <f aca="false">IF(A823&lt;=Penalty!$B$8,C823+F822+IF(A823&gt;Penalty!$B$19,Penalty!$I$5,0)+G822,0)</f>
        <v>0</v>
      </c>
      <c r="E823" s="26" t="n">
        <f aca="false">D823*B823/365</f>
        <v>0</v>
      </c>
      <c r="F823" s="25" t="n">
        <f aca="false">F822+E823*(1-IF(D823&gt;0,(IF(A823&gt;Penalty!$B$19,Penalty!$I$5,0)+G822)/D823,0))</f>
        <v>345.789278153858</v>
      </c>
      <c r="G823" s="25" t="n">
        <f aca="false">G822+E823*IF(D823&gt;0,(IF(A823&gt;Penalty!$B$19,Penalty!$I$5,0)+G822)/D823,0)</f>
        <v>46.6815525507708</v>
      </c>
    </row>
    <row r="824" customFormat="false" ht="15" hidden="false" customHeight="false" outlineLevel="0" collapsed="false">
      <c r="A824" s="23" t="n">
        <f aca="false">Penalty!$B$5+820</f>
        <v>46947</v>
      </c>
      <c r="B824" s="24" t="n">
        <f aca="false">IF(YEAR(A824)&gt;2026,Penalty!$B$16/100,IFERROR(INDEX(Rates!$B$4:$E$15,MATCH(YEAR(A824),Rates!$A$4:$A$15,0),ROUNDUP(MONTH(A824)/3,0))/100,0.03))</f>
        <v>0.07</v>
      </c>
      <c r="C824" s="25" t="n">
        <f aca="false">MAX(0,Penalty!$B$4-SUMIFS(Penalty!$C$10:$C$12,Penalty!$B$10:$B$12,"&lt;"&amp;A824))</f>
        <v>12000</v>
      </c>
      <c r="D824" s="25" t="n">
        <f aca="false">IF(A824&lt;=Penalty!$B$8,C824+F823+IF(A824&gt;Penalty!$B$19,Penalty!$I$5,0)+G823,0)</f>
        <v>0</v>
      </c>
      <c r="E824" s="26" t="n">
        <f aca="false">D824*B824/365</f>
        <v>0</v>
      </c>
      <c r="F824" s="25" t="n">
        <f aca="false">F823+E824*(1-IF(D824&gt;0,(IF(A824&gt;Penalty!$B$19,Penalty!$I$5,0)+G823)/D824,0))</f>
        <v>345.789278153858</v>
      </c>
      <c r="G824" s="25" t="n">
        <f aca="false">G823+E824*IF(D824&gt;0,(IF(A824&gt;Penalty!$B$19,Penalty!$I$5,0)+G823)/D824,0)</f>
        <v>46.6815525507708</v>
      </c>
    </row>
    <row r="825" customFormat="false" ht="15" hidden="false" customHeight="false" outlineLevel="0" collapsed="false">
      <c r="A825" s="23" t="n">
        <f aca="false">Penalty!$B$5+821</f>
        <v>46948</v>
      </c>
      <c r="B825" s="24" t="n">
        <f aca="false">IF(YEAR(A825)&gt;2026,Penalty!$B$16/100,IFERROR(INDEX(Rates!$B$4:$E$15,MATCH(YEAR(A825),Rates!$A$4:$A$15,0),ROUNDUP(MONTH(A825)/3,0))/100,0.03))</f>
        <v>0.07</v>
      </c>
      <c r="C825" s="25" t="n">
        <f aca="false">MAX(0,Penalty!$B$4-SUMIFS(Penalty!$C$10:$C$12,Penalty!$B$10:$B$12,"&lt;"&amp;A825))</f>
        <v>12000</v>
      </c>
      <c r="D825" s="25" t="n">
        <f aca="false">IF(A825&lt;=Penalty!$B$8,C825+F824+IF(A825&gt;Penalty!$B$19,Penalty!$I$5,0)+G824,0)</f>
        <v>0</v>
      </c>
      <c r="E825" s="26" t="n">
        <f aca="false">D825*B825/365</f>
        <v>0</v>
      </c>
      <c r="F825" s="25" t="n">
        <f aca="false">F824+E825*(1-IF(D825&gt;0,(IF(A825&gt;Penalty!$B$19,Penalty!$I$5,0)+G824)/D825,0))</f>
        <v>345.789278153858</v>
      </c>
      <c r="G825" s="25" t="n">
        <f aca="false">G824+E825*IF(D825&gt;0,(IF(A825&gt;Penalty!$B$19,Penalty!$I$5,0)+G824)/D825,0)</f>
        <v>46.6815525507708</v>
      </c>
    </row>
    <row r="826" customFormat="false" ht="15" hidden="false" customHeight="false" outlineLevel="0" collapsed="false">
      <c r="A826" s="23" t="n">
        <f aca="false">Penalty!$B$5+822</f>
        <v>46949</v>
      </c>
      <c r="B826" s="24" t="n">
        <f aca="false">IF(YEAR(A826)&gt;2026,Penalty!$B$16/100,IFERROR(INDEX(Rates!$B$4:$E$15,MATCH(YEAR(A826),Rates!$A$4:$A$15,0),ROUNDUP(MONTH(A826)/3,0))/100,0.03))</f>
        <v>0.07</v>
      </c>
      <c r="C826" s="25" t="n">
        <f aca="false">MAX(0,Penalty!$B$4-SUMIFS(Penalty!$C$10:$C$12,Penalty!$B$10:$B$12,"&lt;"&amp;A826))</f>
        <v>12000</v>
      </c>
      <c r="D826" s="25" t="n">
        <f aca="false">IF(A826&lt;=Penalty!$B$8,C826+F825+IF(A826&gt;Penalty!$B$19,Penalty!$I$5,0)+G825,0)</f>
        <v>0</v>
      </c>
      <c r="E826" s="26" t="n">
        <f aca="false">D826*B826/365</f>
        <v>0</v>
      </c>
      <c r="F826" s="25" t="n">
        <f aca="false">F825+E826*(1-IF(D826&gt;0,(IF(A826&gt;Penalty!$B$19,Penalty!$I$5,0)+G825)/D826,0))</f>
        <v>345.789278153858</v>
      </c>
      <c r="G826" s="25" t="n">
        <f aca="false">G825+E826*IF(D826&gt;0,(IF(A826&gt;Penalty!$B$19,Penalty!$I$5,0)+G825)/D826,0)</f>
        <v>46.6815525507708</v>
      </c>
    </row>
    <row r="827" customFormat="false" ht="15" hidden="false" customHeight="false" outlineLevel="0" collapsed="false">
      <c r="A827" s="23" t="n">
        <f aca="false">Penalty!$B$5+823</f>
        <v>46950</v>
      </c>
      <c r="B827" s="24" t="n">
        <f aca="false">IF(YEAR(A827)&gt;2026,Penalty!$B$16/100,IFERROR(INDEX(Rates!$B$4:$E$15,MATCH(YEAR(A827),Rates!$A$4:$A$15,0),ROUNDUP(MONTH(A827)/3,0))/100,0.03))</f>
        <v>0.07</v>
      </c>
      <c r="C827" s="25" t="n">
        <f aca="false">MAX(0,Penalty!$B$4-SUMIFS(Penalty!$C$10:$C$12,Penalty!$B$10:$B$12,"&lt;"&amp;A827))</f>
        <v>12000</v>
      </c>
      <c r="D827" s="25" t="n">
        <f aca="false">IF(A827&lt;=Penalty!$B$8,C827+F826+IF(A827&gt;Penalty!$B$19,Penalty!$I$5,0)+G826,0)</f>
        <v>0</v>
      </c>
      <c r="E827" s="26" t="n">
        <f aca="false">D827*B827/365</f>
        <v>0</v>
      </c>
      <c r="F827" s="25" t="n">
        <f aca="false">F826+E827*(1-IF(D827&gt;0,(IF(A827&gt;Penalty!$B$19,Penalty!$I$5,0)+G826)/D827,0))</f>
        <v>345.789278153858</v>
      </c>
      <c r="G827" s="25" t="n">
        <f aca="false">G826+E827*IF(D827&gt;0,(IF(A827&gt;Penalty!$B$19,Penalty!$I$5,0)+G826)/D827,0)</f>
        <v>46.6815525507708</v>
      </c>
    </row>
    <row r="828" customFormat="false" ht="15" hidden="false" customHeight="false" outlineLevel="0" collapsed="false">
      <c r="A828" s="23" t="n">
        <f aca="false">Penalty!$B$5+824</f>
        <v>46951</v>
      </c>
      <c r="B828" s="24" t="n">
        <f aca="false">IF(YEAR(A828)&gt;2026,Penalty!$B$16/100,IFERROR(INDEX(Rates!$B$4:$E$15,MATCH(YEAR(A828),Rates!$A$4:$A$15,0),ROUNDUP(MONTH(A828)/3,0))/100,0.03))</f>
        <v>0.07</v>
      </c>
      <c r="C828" s="25" t="n">
        <f aca="false">MAX(0,Penalty!$B$4-SUMIFS(Penalty!$C$10:$C$12,Penalty!$B$10:$B$12,"&lt;"&amp;A828))</f>
        <v>12000</v>
      </c>
      <c r="D828" s="25" t="n">
        <f aca="false">IF(A828&lt;=Penalty!$B$8,C828+F827+IF(A828&gt;Penalty!$B$19,Penalty!$I$5,0)+G827,0)</f>
        <v>0</v>
      </c>
      <c r="E828" s="26" t="n">
        <f aca="false">D828*B828/365</f>
        <v>0</v>
      </c>
      <c r="F828" s="25" t="n">
        <f aca="false">F827+E828*(1-IF(D828&gt;0,(IF(A828&gt;Penalty!$B$19,Penalty!$I$5,0)+G827)/D828,0))</f>
        <v>345.789278153858</v>
      </c>
      <c r="G828" s="25" t="n">
        <f aca="false">G827+E828*IF(D828&gt;0,(IF(A828&gt;Penalty!$B$19,Penalty!$I$5,0)+G827)/D828,0)</f>
        <v>46.6815525507708</v>
      </c>
    </row>
    <row r="829" customFormat="false" ht="15" hidden="false" customHeight="false" outlineLevel="0" collapsed="false">
      <c r="A829" s="23" t="n">
        <f aca="false">Penalty!$B$5+825</f>
        <v>46952</v>
      </c>
      <c r="B829" s="24" t="n">
        <f aca="false">IF(YEAR(A829)&gt;2026,Penalty!$B$16/100,IFERROR(INDEX(Rates!$B$4:$E$15,MATCH(YEAR(A829),Rates!$A$4:$A$15,0),ROUNDUP(MONTH(A829)/3,0))/100,0.03))</f>
        <v>0.07</v>
      </c>
      <c r="C829" s="25" t="n">
        <f aca="false">MAX(0,Penalty!$B$4-SUMIFS(Penalty!$C$10:$C$12,Penalty!$B$10:$B$12,"&lt;"&amp;A829))</f>
        <v>12000</v>
      </c>
      <c r="D829" s="25" t="n">
        <f aca="false">IF(A829&lt;=Penalty!$B$8,C829+F828+IF(A829&gt;Penalty!$B$19,Penalty!$I$5,0)+G828,0)</f>
        <v>0</v>
      </c>
      <c r="E829" s="26" t="n">
        <f aca="false">D829*B829/365</f>
        <v>0</v>
      </c>
      <c r="F829" s="25" t="n">
        <f aca="false">F828+E829*(1-IF(D829&gt;0,(IF(A829&gt;Penalty!$B$19,Penalty!$I$5,0)+G828)/D829,0))</f>
        <v>345.789278153858</v>
      </c>
      <c r="G829" s="25" t="n">
        <f aca="false">G828+E829*IF(D829&gt;0,(IF(A829&gt;Penalty!$B$19,Penalty!$I$5,0)+G828)/D829,0)</f>
        <v>46.6815525507708</v>
      </c>
    </row>
    <row r="830" customFormat="false" ht="15" hidden="false" customHeight="false" outlineLevel="0" collapsed="false">
      <c r="A830" s="23" t="n">
        <f aca="false">Penalty!$B$5+826</f>
        <v>46953</v>
      </c>
      <c r="B830" s="24" t="n">
        <f aca="false">IF(YEAR(A830)&gt;2026,Penalty!$B$16/100,IFERROR(INDEX(Rates!$B$4:$E$15,MATCH(YEAR(A830),Rates!$A$4:$A$15,0),ROUNDUP(MONTH(A830)/3,0))/100,0.03))</f>
        <v>0.07</v>
      </c>
      <c r="C830" s="25" t="n">
        <f aca="false">MAX(0,Penalty!$B$4-SUMIFS(Penalty!$C$10:$C$12,Penalty!$B$10:$B$12,"&lt;"&amp;A830))</f>
        <v>12000</v>
      </c>
      <c r="D830" s="25" t="n">
        <f aca="false">IF(A830&lt;=Penalty!$B$8,C830+F829+IF(A830&gt;Penalty!$B$19,Penalty!$I$5,0)+G829,0)</f>
        <v>0</v>
      </c>
      <c r="E830" s="26" t="n">
        <f aca="false">D830*B830/365</f>
        <v>0</v>
      </c>
      <c r="F830" s="25" t="n">
        <f aca="false">F829+E830*(1-IF(D830&gt;0,(IF(A830&gt;Penalty!$B$19,Penalty!$I$5,0)+G829)/D830,0))</f>
        <v>345.789278153858</v>
      </c>
      <c r="G830" s="25" t="n">
        <f aca="false">G829+E830*IF(D830&gt;0,(IF(A830&gt;Penalty!$B$19,Penalty!$I$5,0)+G829)/D830,0)</f>
        <v>46.6815525507708</v>
      </c>
    </row>
    <row r="831" customFormat="false" ht="15" hidden="false" customHeight="false" outlineLevel="0" collapsed="false">
      <c r="A831" s="23" t="n">
        <f aca="false">Penalty!$B$5+827</f>
        <v>46954</v>
      </c>
      <c r="B831" s="24" t="n">
        <f aca="false">IF(YEAR(A831)&gt;2026,Penalty!$B$16/100,IFERROR(INDEX(Rates!$B$4:$E$15,MATCH(YEAR(A831),Rates!$A$4:$A$15,0),ROUNDUP(MONTH(A831)/3,0))/100,0.03))</f>
        <v>0.07</v>
      </c>
      <c r="C831" s="25" t="n">
        <f aca="false">MAX(0,Penalty!$B$4-SUMIFS(Penalty!$C$10:$C$12,Penalty!$B$10:$B$12,"&lt;"&amp;A831))</f>
        <v>12000</v>
      </c>
      <c r="D831" s="25" t="n">
        <f aca="false">IF(A831&lt;=Penalty!$B$8,C831+F830+IF(A831&gt;Penalty!$B$19,Penalty!$I$5,0)+G830,0)</f>
        <v>0</v>
      </c>
      <c r="E831" s="26" t="n">
        <f aca="false">D831*B831/365</f>
        <v>0</v>
      </c>
      <c r="F831" s="25" t="n">
        <f aca="false">F830+E831*(1-IF(D831&gt;0,(IF(A831&gt;Penalty!$B$19,Penalty!$I$5,0)+G830)/D831,0))</f>
        <v>345.789278153858</v>
      </c>
      <c r="G831" s="25" t="n">
        <f aca="false">G830+E831*IF(D831&gt;0,(IF(A831&gt;Penalty!$B$19,Penalty!$I$5,0)+G830)/D831,0)</f>
        <v>46.6815525507708</v>
      </c>
    </row>
    <row r="832" customFormat="false" ht="15" hidden="false" customHeight="false" outlineLevel="0" collapsed="false">
      <c r="A832" s="23" t="n">
        <f aca="false">Penalty!$B$5+828</f>
        <v>46955</v>
      </c>
      <c r="B832" s="24" t="n">
        <f aca="false">IF(YEAR(A832)&gt;2026,Penalty!$B$16/100,IFERROR(INDEX(Rates!$B$4:$E$15,MATCH(YEAR(A832),Rates!$A$4:$A$15,0),ROUNDUP(MONTH(A832)/3,0))/100,0.03))</f>
        <v>0.07</v>
      </c>
      <c r="C832" s="25" t="n">
        <f aca="false">MAX(0,Penalty!$B$4-SUMIFS(Penalty!$C$10:$C$12,Penalty!$B$10:$B$12,"&lt;"&amp;A832))</f>
        <v>12000</v>
      </c>
      <c r="D832" s="25" t="n">
        <f aca="false">IF(A832&lt;=Penalty!$B$8,C832+F831+IF(A832&gt;Penalty!$B$19,Penalty!$I$5,0)+G831,0)</f>
        <v>0</v>
      </c>
      <c r="E832" s="26" t="n">
        <f aca="false">D832*B832/365</f>
        <v>0</v>
      </c>
      <c r="F832" s="25" t="n">
        <f aca="false">F831+E832*(1-IF(D832&gt;0,(IF(A832&gt;Penalty!$B$19,Penalty!$I$5,0)+G831)/D832,0))</f>
        <v>345.789278153858</v>
      </c>
      <c r="G832" s="25" t="n">
        <f aca="false">G831+E832*IF(D832&gt;0,(IF(A832&gt;Penalty!$B$19,Penalty!$I$5,0)+G831)/D832,0)</f>
        <v>46.6815525507708</v>
      </c>
    </row>
    <row r="833" customFormat="false" ht="15" hidden="false" customHeight="false" outlineLevel="0" collapsed="false">
      <c r="A833" s="23" t="n">
        <f aca="false">Penalty!$B$5+829</f>
        <v>46956</v>
      </c>
      <c r="B833" s="24" t="n">
        <f aca="false">IF(YEAR(A833)&gt;2026,Penalty!$B$16/100,IFERROR(INDEX(Rates!$B$4:$E$15,MATCH(YEAR(A833),Rates!$A$4:$A$15,0),ROUNDUP(MONTH(A833)/3,0))/100,0.03))</f>
        <v>0.07</v>
      </c>
      <c r="C833" s="25" t="n">
        <f aca="false">MAX(0,Penalty!$B$4-SUMIFS(Penalty!$C$10:$C$12,Penalty!$B$10:$B$12,"&lt;"&amp;A833))</f>
        <v>12000</v>
      </c>
      <c r="D833" s="25" t="n">
        <f aca="false">IF(A833&lt;=Penalty!$B$8,C833+F832+IF(A833&gt;Penalty!$B$19,Penalty!$I$5,0)+G832,0)</f>
        <v>0</v>
      </c>
      <c r="E833" s="26" t="n">
        <f aca="false">D833*B833/365</f>
        <v>0</v>
      </c>
      <c r="F833" s="25" t="n">
        <f aca="false">F832+E833*(1-IF(D833&gt;0,(IF(A833&gt;Penalty!$B$19,Penalty!$I$5,0)+G832)/D833,0))</f>
        <v>345.789278153858</v>
      </c>
      <c r="G833" s="25" t="n">
        <f aca="false">G832+E833*IF(D833&gt;0,(IF(A833&gt;Penalty!$B$19,Penalty!$I$5,0)+G832)/D833,0)</f>
        <v>46.6815525507708</v>
      </c>
    </row>
    <row r="834" customFormat="false" ht="15" hidden="false" customHeight="false" outlineLevel="0" collapsed="false">
      <c r="A834" s="23" t="n">
        <f aca="false">Penalty!$B$5+830</f>
        <v>46957</v>
      </c>
      <c r="B834" s="24" t="n">
        <f aca="false">IF(YEAR(A834)&gt;2026,Penalty!$B$16/100,IFERROR(INDEX(Rates!$B$4:$E$15,MATCH(YEAR(A834),Rates!$A$4:$A$15,0),ROUNDUP(MONTH(A834)/3,0))/100,0.03))</f>
        <v>0.07</v>
      </c>
      <c r="C834" s="25" t="n">
        <f aca="false">MAX(0,Penalty!$B$4-SUMIFS(Penalty!$C$10:$C$12,Penalty!$B$10:$B$12,"&lt;"&amp;A834))</f>
        <v>12000</v>
      </c>
      <c r="D834" s="25" t="n">
        <f aca="false">IF(A834&lt;=Penalty!$B$8,C834+F833+IF(A834&gt;Penalty!$B$19,Penalty!$I$5,0)+G833,0)</f>
        <v>0</v>
      </c>
      <c r="E834" s="26" t="n">
        <f aca="false">D834*B834/365</f>
        <v>0</v>
      </c>
      <c r="F834" s="25" t="n">
        <f aca="false">F833+E834*(1-IF(D834&gt;0,(IF(A834&gt;Penalty!$B$19,Penalty!$I$5,0)+G833)/D834,0))</f>
        <v>345.789278153858</v>
      </c>
      <c r="G834" s="25" t="n">
        <f aca="false">G833+E834*IF(D834&gt;0,(IF(A834&gt;Penalty!$B$19,Penalty!$I$5,0)+G833)/D834,0)</f>
        <v>46.6815525507708</v>
      </c>
    </row>
    <row r="835" customFormat="false" ht="15" hidden="false" customHeight="false" outlineLevel="0" collapsed="false">
      <c r="A835" s="23" t="n">
        <f aca="false">Penalty!$B$5+831</f>
        <v>46958</v>
      </c>
      <c r="B835" s="24" t="n">
        <f aca="false">IF(YEAR(A835)&gt;2026,Penalty!$B$16/100,IFERROR(INDEX(Rates!$B$4:$E$15,MATCH(YEAR(A835),Rates!$A$4:$A$15,0),ROUNDUP(MONTH(A835)/3,0))/100,0.03))</f>
        <v>0.07</v>
      </c>
      <c r="C835" s="25" t="n">
        <f aca="false">MAX(0,Penalty!$B$4-SUMIFS(Penalty!$C$10:$C$12,Penalty!$B$10:$B$12,"&lt;"&amp;A835))</f>
        <v>12000</v>
      </c>
      <c r="D835" s="25" t="n">
        <f aca="false">IF(A835&lt;=Penalty!$B$8,C835+F834+IF(A835&gt;Penalty!$B$19,Penalty!$I$5,0)+G834,0)</f>
        <v>0</v>
      </c>
      <c r="E835" s="26" t="n">
        <f aca="false">D835*B835/365</f>
        <v>0</v>
      </c>
      <c r="F835" s="25" t="n">
        <f aca="false">F834+E835*(1-IF(D835&gt;0,(IF(A835&gt;Penalty!$B$19,Penalty!$I$5,0)+G834)/D835,0))</f>
        <v>345.789278153858</v>
      </c>
      <c r="G835" s="25" t="n">
        <f aca="false">G834+E835*IF(D835&gt;0,(IF(A835&gt;Penalty!$B$19,Penalty!$I$5,0)+G834)/D835,0)</f>
        <v>46.6815525507708</v>
      </c>
    </row>
    <row r="836" customFormat="false" ht="15" hidden="false" customHeight="false" outlineLevel="0" collapsed="false">
      <c r="A836" s="23" t="n">
        <f aca="false">Penalty!$B$5+832</f>
        <v>46959</v>
      </c>
      <c r="B836" s="24" t="n">
        <f aca="false">IF(YEAR(A836)&gt;2026,Penalty!$B$16/100,IFERROR(INDEX(Rates!$B$4:$E$15,MATCH(YEAR(A836),Rates!$A$4:$A$15,0),ROUNDUP(MONTH(A836)/3,0))/100,0.03))</f>
        <v>0.07</v>
      </c>
      <c r="C836" s="25" t="n">
        <f aca="false">MAX(0,Penalty!$B$4-SUMIFS(Penalty!$C$10:$C$12,Penalty!$B$10:$B$12,"&lt;"&amp;A836))</f>
        <v>12000</v>
      </c>
      <c r="D836" s="25" t="n">
        <f aca="false">IF(A836&lt;=Penalty!$B$8,C836+F835+IF(A836&gt;Penalty!$B$19,Penalty!$I$5,0)+G835,0)</f>
        <v>0</v>
      </c>
      <c r="E836" s="26" t="n">
        <f aca="false">D836*B836/365</f>
        <v>0</v>
      </c>
      <c r="F836" s="25" t="n">
        <f aca="false">F835+E836*(1-IF(D836&gt;0,(IF(A836&gt;Penalty!$B$19,Penalty!$I$5,0)+G835)/D836,0))</f>
        <v>345.789278153858</v>
      </c>
      <c r="G836" s="25" t="n">
        <f aca="false">G835+E836*IF(D836&gt;0,(IF(A836&gt;Penalty!$B$19,Penalty!$I$5,0)+G835)/D836,0)</f>
        <v>46.6815525507708</v>
      </c>
    </row>
    <row r="837" customFormat="false" ht="15" hidden="false" customHeight="false" outlineLevel="0" collapsed="false">
      <c r="A837" s="23" t="n">
        <f aca="false">Penalty!$B$5+833</f>
        <v>46960</v>
      </c>
      <c r="B837" s="24" t="n">
        <f aca="false">IF(YEAR(A837)&gt;2026,Penalty!$B$16/100,IFERROR(INDEX(Rates!$B$4:$E$15,MATCH(YEAR(A837),Rates!$A$4:$A$15,0),ROUNDUP(MONTH(A837)/3,0))/100,0.03))</f>
        <v>0.07</v>
      </c>
      <c r="C837" s="25" t="n">
        <f aca="false">MAX(0,Penalty!$B$4-SUMIFS(Penalty!$C$10:$C$12,Penalty!$B$10:$B$12,"&lt;"&amp;A837))</f>
        <v>12000</v>
      </c>
      <c r="D837" s="25" t="n">
        <f aca="false">IF(A837&lt;=Penalty!$B$8,C837+F836+IF(A837&gt;Penalty!$B$19,Penalty!$I$5,0)+G836,0)</f>
        <v>0</v>
      </c>
      <c r="E837" s="26" t="n">
        <f aca="false">D837*B837/365</f>
        <v>0</v>
      </c>
      <c r="F837" s="25" t="n">
        <f aca="false">F836+E837*(1-IF(D837&gt;0,(IF(A837&gt;Penalty!$B$19,Penalty!$I$5,0)+G836)/D837,0))</f>
        <v>345.789278153858</v>
      </c>
      <c r="G837" s="25" t="n">
        <f aca="false">G836+E837*IF(D837&gt;0,(IF(A837&gt;Penalty!$B$19,Penalty!$I$5,0)+G836)/D837,0)</f>
        <v>46.6815525507708</v>
      </c>
    </row>
    <row r="838" customFormat="false" ht="15" hidden="false" customHeight="false" outlineLevel="0" collapsed="false">
      <c r="A838" s="23" t="n">
        <f aca="false">Penalty!$B$5+834</f>
        <v>46961</v>
      </c>
      <c r="B838" s="24" t="n">
        <f aca="false">IF(YEAR(A838)&gt;2026,Penalty!$B$16/100,IFERROR(INDEX(Rates!$B$4:$E$15,MATCH(YEAR(A838),Rates!$A$4:$A$15,0),ROUNDUP(MONTH(A838)/3,0))/100,0.03))</f>
        <v>0.07</v>
      </c>
      <c r="C838" s="25" t="n">
        <f aca="false">MAX(0,Penalty!$B$4-SUMIFS(Penalty!$C$10:$C$12,Penalty!$B$10:$B$12,"&lt;"&amp;A838))</f>
        <v>12000</v>
      </c>
      <c r="D838" s="25" t="n">
        <f aca="false">IF(A838&lt;=Penalty!$B$8,C838+F837+IF(A838&gt;Penalty!$B$19,Penalty!$I$5,0)+G837,0)</f>
        <v>0</v>
      </c>
      <c r="E838" s="26" t="n">
        <f aca="false">D838*B838/365</f>
        <v>0</v>
      </c>
      <c r="F838" s="25" t="n">
        <f aca="false">F837+E838*(1-IF(D838&gt;0,(IF(A838&gt;Penalty!$B$19,Penalty!$I$5,0)+G837)/D838,0))</f>
        <v>345.789278153858</v>
      </c>
      <c r="G838" s="25" t="n">
        <f aca="false">G837+E838*IF(D838&gt;0,(IF(A838&gt;Penalty!$B$19,Penalty!$I$5,0)+G837)/D838,0)</f>
        <v>46.6815525507708</v>
      </c>
    </row>
    <row r="839" customFormat="false" ht="15" hidden="false" customHeight="false" outlineLevel="0" collapsed="false">
      <c r="A839" s="23" t="n">
        <f aca="false">Penalty!$B$5+835</f>
        <v>46962</v>
      </c>
      <c r="B839" s="24" t="n">
        <f aca="false">IF(YEAR(A839)&gt;2026,Penalty!$B$16/100,IFERROR(INDEX(Rates!$B$4:$E$15,MATCH(YEAR(A839),Rates!$A$4:$A$15,0),ROUNDUP(MONTH(A839)/3,0))/100,0.03))</f>
        <v>0.07</v>
      </c>
      <c r="C839" s="25" t="n">
        <f aca="false">MAX(0,Penalty!$B$4-SUMIFS(Penalty!$C$10:$C$12,Penalty!$B$10:$B$12,"&lt;"&amp;A839))</f>
        <v>12000</v>
      </c>
      <c r="D839" s="25" t="n">
        <f aca="false">IF(A839&lt;=Penalty!$B$8,C839+F838+IF(A839&gt;Penalty!$B$19,Penalty!$I$5,0)+G838,0)</f>
        <v>0</v>
      </c>
      <c r="E839" s="26" t="n">
        <f aca="false">D839*B839/365</f>
        <v>0</v>
      </c>
      <c r="F839" s="25" t="n">
        <f aca="false">F838+E839*(1-IF(D839&gt;0,(IF(A839&gt;Penalty!$B$19,Penalty!$I$5,0)+G838)/D839,0))</f>
        <v>345.789278153858</v>
      </c>
      <c r="G839" s="25" t="n">
        <f aca="false">G838+E839*IF(D839&gt;0,(IF(A839&gt;Penalty!$B$19,Penalty!$I$5,0)+G838)/D839,0)</f>
        <v>46.6815525507708</v>
      </c>
    </row>
    <row r="840" customFormat="false" ht="15" hidden="false" customHeight="false" outlineLevel="0" collapsed="false">
      <c r="A840" s="23" t="n">
        <f aca="false">Penalty!$B$5+836</f>
        <v>46963</v>
      </c>
      <c r="B840" s="24" t="n">
        <f aca="false">IF(YEAR(A840)&gt;2026,Penalty!$B$16/100,IFERROR(INDEX(Rates!$B$4:$E$15,MATCH(YEAR(A840),Rates!$A$4:$A$15,0),ROUNDUP(MONTH(A840)/3,0))/100,0.03))</f>
        <v>0.07</v>
      </c>
      <c r="C840" s="25" t="n">
        <f aca="false">MAX(0,Penalty!$B$4-SUMIFS(Penalty!$C$10:$C$12,Penalty!$B$10:$B$12,"&lt;"&amp;A840))</f>
        <v>12000</v>
      </c>
      <c r="D840" s="25" t="n">
        <f aca="false">IF(A840&lt;=Penalty!$B$8,C840+F839+IF(A840&gt;Penalty!$B$19,Penalty!$I$5,0)+G839,0)</f>
        <v>0</v>
      </c>
      <c r="E840" s="26" t="n">
        <f aca="false">D840*B840/365</f>
        <v>0</v>
      </c>
      <c r="F840" s="25" t="n">
        <f aca="false">F839+E840*(1-IF(D840&gt;0,(IF(A840&gt;Penalty!$B$19,Penalty!$I$5,0)+G839)/D840,0))</f>
        <v>345.789278153858</v>
      </c>
      <c r="G840" s="25" t="n">
        <f aca="false">G839+E840*IF(D840&gt;0,(IF(A840&gt;Penalty!$B$19,Penalty!$I$5,0)+G839)/D840,0)</f>
        <v>46.6815525507708</v>
      </c>
    </row>
    <row r="841" customFormat="false" ht="15" hidden="false" customHeight="false" outlineLevel="0" collapsed="false">
      <c r="A841" s="23" t="n">
        <f aca="false">Penalty!$B$5+837</f>
        <v>46964</v>
      </c>
      <c r="B841" s="24" t="n">
        <f aca="false">IF(YEAR(A841)&gt;2026,Penalty!$B$16/100,IFERROR(INDEX(Rates!$B$4:$E$15,MATCH(YEAR(A841),Rates!$A$4:$A$15,0),ROUNDUP(MONTH(A841)/3,0))/100,0.03))</f>
        <v>0.07</v>
      </c>
      <c r="C841" s="25" t="n">
        <f aca="false">MAX(0,Penalty!$B$4-SUMIFS(Penalty!$C$10:$C$12,Penalty!$B$10:$B$12,"&lt;"&amp;A841))</f>
        <v>12000</v>
      </c>
      <c r="D841" s="25" t="n">
        <f aca="false">IF(A841&lt;=Penalty!$B$8,C841+F840+IF(A841&gt;Penalty!$B$19,Penalty!$I$5,0)+G840,0)</f>
        <v>0</v>
      </c>
      <c r="E841" s="26" t="n">
        <f aca="false">D841*B841/365</f>
        <v>0</v>
      </c>
      <c r="F841" s="25" t="n">
        <f aca="false">F840+E841*(1-IF(D841&gt;0,(IF(A841&gt;Penalty!$B$19,Penalty!$I$5,0)+G840)/D841,0))</f>
        <v>345.789278153858</v>
      </c>
      <c r="G841" s="25" t="n">
        <f aca="false">G840+E841*IF(D841&gt;0,(IF(A841&gt;Penalty!$B$19,Penalty!$I$5,0)+G840)/D841,0)</f>
        <v>46.6815525507708</v>
      </c>
    </row>
    <row r="842" customFormat="false" ht="15" hidden="false" customHeight="false" outlineLevel="0" collapsed="false">
      <c r="A842" s="23" t="n">
        <f aca="false">Penalty!$B$5+838</f>
        <v>46965</v>
      </c>
      <c r="B842" s="24" t="n">
        <f aca="false">IF(YEAR(A842)&gt;2026,Penalty!$B$16/100,IFERROR(INDEX(Rates!$B$4:$E$15,MATCH(YEAR(A842),Rates!$A$4:$A$15,0),ROUNDUP(MONTH(A842)/3,0))/100,0.03))</f>
        <v>0.07</v>
      </c>
      <c r="C842" s="25" t="n">
        <f aca="false">MAX(0,Penalty!$B$4-SUMIFS(Penalty!$C$10:$C$12,Penalty!$B$10:$B$12,"&lt;"&amp;A842))</f>
        <v>12000</v>
      </c>
      <c r="D842" s="25" t="n">
        <f aca="false">IF(A842&lt;=Penalty!$B$8,C842+F841+IF(A842&gt;Penalty!$B$19,Penalty!$I$5,0)+G841,0)</f>
        <v>0</v>
      </c>
      <c r="E842" s="26" t="n">
        <f aca="false">D842*B842/365</f>
        <v>0</v>
      </c>
      <c r="F842" s="25" t="n">
        <f aca="false">F841+E842*(1-IF(D842&gt;0,(IF(A842&gt;Penalty!$B$19,Penalty!$I$5,0)+G841)/D842,0))</f>
        <v>345.789278153858</v>
      </c>
      <c r="G842" s="25" t="n">
        <f aca="false">G841+E842*IF(D842&gt;0,(IF(A842&gt;Penalty!$B$19,Penalty!$I$5,0)+G841)/D842,0)</f>
        <v>46.6815525507708</v>
      </c>
    </row>
    <row r="843" customFormat="false" ht="15" hidden="false" customHeight="false" outlineLevel="0" collapsed="false">
      <c r="A843" s="23" t="n">
        <f aca="false">Penalty!$B$5+839</f>
        <v>46966</v>
      </c>
      <c r="B843" s="24" t="n">
        <f aca="false">IF(YEAR(A843)&gt;2026,Penalty!$B$16/100,IFERROR(INDEX(Rates!$B$4:$E$15,MATCH(YEAR(A843),Rates!$A$4:$A$15,0),ROUNDUP(MONTH(A843)/3,0))/100,0.03))</f>
        <v>0.07</v>
      </c>
      <c r="C843" s="25" t="n">
        <f aca="false">MAX(0,Penalty!$B$4-SUMIFS(Penalty!$C$10:$C$12,Penalty!$B$10:$B$12,"&lt;"&amp;A843))</f>
        <v>12000</v>
      </c>
      <c r="D843" s="25" t="n">
        <f aca="false">IF(A843&lt;=Penalty!$B$8,C843+F842+IF(A843&gt;Penalty!$B$19,Penalty!$I$5,0)+G842,0)</f>
        <v>0</v>
      </c>
      <c r="E843" s="26" t="n">
        <f aca="false">D843*B843/365</f>
        <v>0</v>
      </c>
      <c r="F843" s="25" t="n">
        <f aca="false">F842+E843*(1-IF(D843&gt;0,(IF(A843&gt;Penalty!$B$19,Penalty!$I$5,0)+G842)/D843,0))</f>
        <v>345.789278153858</v>
      </c>
      <c r="G843" s="25" t="n">
        <f aca="false">G842+E843*IF(D843&gt;0,(IF(A843&gt;Penalty!$B$19,Penalty!$I$5,0)+G842)/D843,0)</f>
        <v>46.6815525507708</v>
      </c>
    </row>
    <row r="844" customFormat="false" ht="15" hidden="false" customHeight="false" outlineLevel="0" collapsed="false">
      <c r="A844" s="23" t="n">
        <f aca="false">Penalty!$B$5+840</f>
        <v>46967</v>
      </c>
      <c r="B844" s="24" t="n">
        <f aca="false">IF(YEAR(A844)&gt;2026,Penalty!$B$16/100,IFERROR(INDEX(Rates!$B$4:$E$15,MATCH(YEAR(A844),Rates!$A$4:$A$15,0),ROUNDUP(MONTH(A844)/3,0))/100,0.03))</f>
        <v>0.07</v>
      </c>
      <c r="C844" s="25" t="n">
        <f aca="false">MAX(0,Penalty!$B$4-SUMIFS(Penalty!$C$10:$C$12,Penalty!$B$10:$B$12,"&lt;"&amp;A844))</f>
        <v>12000</v>
      </c>
      <c r="D844" s="25" t="n">
        <f aca="false">IF(A844&lt;=Penalty!$B$8,C844+F843+IF(A844&gt;Penalty!$B$19,Penalty!$I$5,0)+G843,0)</f>
        <v>0</v>
      </c>
      <c r="E844" s="26" t="n">
        <f aca="false">D844*B844/365</f>
        <v>0</v>
      </c>
      <c r="F844" s="25" t="n">
        <f aca="false">F843+E844*(1-IF(D844&gt;0,(IF(A844&gt;Penalty!$B$19,Penalty!$I$5,0)+G843)/D844,0))</f>
        <v>345.789278153858</v>
      </c>
      <c r="G844" s="25" t="n">
        <f aca="false">G843+E844*IF(D844&gt;0,(IF(A844&gt;Penalty!$B$19,Penalty!$I$5,0)+G843)/D844,0)</f>
        <v>46.6815525507708</v>
      </c>
    </row>
    <row r="845" customFormat="false" ht="15" hidden="false" customHeight="false" outlineLevel="0" collapsed="false">
      <c r="A845" s="23" t="n">
        <f aca="false">Penalty!$B$5+841</f>
        <v>46968</v>
      </c>
      <c r="B845" s="24" t="n">
        <f aca="false">IF(YEAR(A845)&gt;2026,Penalty!$B$16/100,IFERROR(INDEX(Rates!$B$4:$E$15,MATCH(YEAR(A845),Rates!$A$4:$A$15,0),ROUNDUP(MONTH(A845)/3,0))/100,0.03))</f>
        <v>0.07</v>
      </c>
      <c r="C845" s="25" t="n">
        <f aca="false">MAX(0,Penalty!$B$4-SUMIFS(Penalty!$C$10:$C$12,Penalty!$B$10:$B$12,"&lt;"&amp;A845))</f>
        <v>12000</v>
      </c>
      <c r="D845" s="25" t="n">
        <f aca="false">IF(A845&lt;=Penalty!$B$8,C845+F844+IF(A845&gt;Penalty!$B$19,Penalty!$I$5,0)+G844,0)</f>
        <v>0</v>
      </c>
      <c r="E845" s="26" t="n">
        <f aca="false">D845*B845/365</f>
        <v>0</v>
      </c>
      <c r="F845" s="25" t="n">
        <f aca="false">F844+E845*(1-IF(D845&gt;0,(IF(A845&gt;Penalty!$B$19,Penalty!$I$5,0)+G844)/D845,0))</f>
        <v>345.789278153858</v>
      </c>
      <c r="G845" s="25" t="n">
        <f aca="false">G844+E845*IF(D845&gt;0,(IF(A845&gt;Penalty!$B$19,Penalty!$I$5,0)+G844)/D845,0)</f>
        <v>46.6815525507708</v>
      </c>
    </row>
    <row r="846" customFormat="false" ht="15" hidden="false" customHeight="false" outlineLevel="0" collapsed="false">
      <c r="A846" s="23" t="n">
        <f aca="false">Penalty!$B$5+842</f>
        <v>46969</v>
      </c>
      <c r="B846" s="24" t="n">
        <f aca="false">IF(YEAR(A846)&gt;2026,Penalty!$B$16/100,IFERROR(INDEX(Rates!$B$4:$E$15,MATCH(YEAR(A846),Rates!$A$4:$A$15,0),ROUNDUP(MONTH(A846)/3,0))/100,0.03))</f>
        <v>0.07</v>
      </c>
      <c r="C846" s="25" t="n">
        <f aca="false">MAX(0,Penalty!$B$4-SUMIFS(Penalty!$C$10:$C$12,Penalty!$B$10:$B$12,"&lt;"&amp;A846))</f>
        <v>12000</v>
      </c>
      <c r="D846" s="25" t="n">
        <f aca="false">IF(A846&lt;=Penalty!$B$8,C846+F845+IF(A846&gt;Penalty!$B$19,Penalty!$I$5,0)+G845,0)</f>
        <v>0</v>
      </c>
      <c r="E846" s="26" t="n">
        <f aca="false">D846*B846/365</f>
        <v>0</v>
      </c>
      <c r="F846" s="25" t="n">
        <f aca="false">F845+E846*(1-IF(D846&gt;0,(IF(A846&gt;Penalty!$B$19,Penalty!$I$5,0)+G845)/D846,0))</f>
        <v>345.789278153858</v>
      </c>
      <c r="G846" s="25" t="n">
        <f aca="false">G845+E846*IF(D846&gt;0,(IF(A846&gt;Penalty!$B$19,Penalty!$I$5,0)+G845)/D846,0)</f>
        <v>46.6815525507708</v>
      </c>
    </row>
    <row r="847" customFormat="false" ht="15" hidden="false" customHeight="false" outlineLevel="0" collapsed="false">
      <c r="A847" s="23" t="n">
        <f aca="false">Penalty!$B$5+843</f>
        <v>46970</v>
      </c>
      <c r="B847" s="24" t="n">
        <f aca="false">IF(YEAR(A847)&gt;2026,Penalty!$B$16/100,IFERROR(INDEX(Rates!$B$4:$E$15,MATCH(YEAR(A847),Rates!$A$4:$A$15,0),ROUNDUP(MONTH(A847)/3,0))/100,0.03))</f>
        <v>0.07</v>
      </c>
      <c r="C847" s="25" t="n">
        <f aca="false">MAX(0,Penalty!$B$4-SUMIFS(Penalty!$C$10:$C$12,Penalty!$B$10:$B$12,"&lt;"&amp;A847))</f>
        <v>12000</v>
      </c>
      <c r="D847" s="25" t="n">
        <f aca="false">IF(A847&lt;=Penalty!$B$8,C847+F846+IF(A847&gt;Penalty!$B$19,Penalty!$I$5,0)+G846,0)</f>
        <v>0</v>
      </c>
      <c r="E847" s="26" t="n">
        <f aca="false">D847*B847/365</f>
        <v>0</v>
      </c>
      <c r="F847" s="25" t="n">
        <f aca="false">F846+E847*(1-IF(D847&gt;0,(IF(A847&gt;Penalty!$B$19,Penalty!$I$5,0)+G846)/D847,0))</f>
        <v>345.789278153858</v>
      </c>
      <c r="G847" s="25" t="n">
        <f aca="false">G846+E847*IF(D847&gt;0,(IF(A847&gt;Penalty!$B$19,Penalty!$I$5,0)+G846)/D847,0)</f>
        <v>46.6815525507708</v>
      </c>
    </row>
    <row r="848" customFormat="false" ht="15" hidden="false" customHeight="false" outlineLevel="0" collapsed="false">
      <c r="A848" s="23" t="n">
        <f aca="false">Penalty!$B$5+844</f>
        <v>46971</v>
      </c>
      <c r="B848" s="24" t="n">
        <f aca="false">IF(YEAR(A848)&gt;2026,Penalty!$B$16/100,IFERROR(INDEX(Rates!$B$4:$E$15,MATCH(YEAR(A848),Rates!$A$4:$A$15,0),ROUNDUP(MONTH(A848)/3,0))/100,0.03))</f>
        <v>0.07</v>
      </c>
      <c r="C848" s="25" t="n">
        <f aca="false">MAX(0,Penalty!$B$4-SUMIFS(Penalty!$C$10:$C$12,Penalty!$B$10:$B$12,"&lt;"&amp;A848))</f>
        <v>12000</v>
      </c>
      <c r="D848" s="25" t="n">
        <f aca="false">IF(A848&lt;=Penalty!$B$8,C848+F847+IF(A848&gt;Penalty!$B$19,Penalty!$I$5,0)+G847,0)</f>
        <v>0</v>
      </c>
      <c r="E848" s="26" t="n">
        <f aca="false">D848*B848/365</f>
        <v>0</v>
      </c>
      <c r="F848" s="25" t="n">
        <f aca="false">F847+E848*(1-IF(D848&gt;0,(IF(A848&gt;Penalty!$B$19,Penalty!$I$5,0)+G847)/D848,0))</f>
        <v>345.789278153858</v>
      </c>
      <c r="G848" s="25" t="n">
        <f aca="false">G847+E848*IF(D848&gt;0,(IF(A848&gt;Penalty!$B$19,Penalty!$I$5,0)+G847)/D848,0)</f>
        <v>46.6815525507708</v>
      </c>
    </row>
    <row r="849" customFormat="false" ht="15" hidden="false" customHeight="false" outlineLevel="0" collapsed="false">
      <c r="A849" s="23" t="n">
        <f aca="false">Penalty!$B$5+845</f>
        <v>46972</v>
      </c>
      <c r="B849" s="24" t="n">
        <f aca="false">IF(YEAR(A849)&gt;2026,Penalty!$B$16/100,IFERROR(INDEX(Rates!$B$4:$E$15,MATCH(YEAR(A849),Rates!$A$4:$A$15,0),ROUNDUP(MONTH(A849)/3,0))/100,0.03))</f>
        <v>0.07</v>
      </c>
      <c r="C849" s="25" t="n">
        <f aca="false">MAX(0,Penalty!$B$4-SUMIFS(Penalty!$C$10:$C$12,Penalty!$B$10:$B$12,"&lt;"&amp;A849))</f>
        <v>12000</v>
      </c>
      <c r="D849" s="25" t="n">
        <f aca="false">IF(A849&lt;=Penalty!$B$8,C849+F848+IF(A849&gt;Penalty!$B$19,Penalty!$I$5,0)+G848,0)</f>
        <v>0</v>
      </c>
      <c r="E849" s="26" t="n">
        <f aca="false">D849*B849/365</f>
        <v>0</v>
      </c>
      <c r="F849" s="25" t="n">
        <f aca="false">F848+E849*(1-IF(D849&gt;0,(IF(A849&gt;Penalty!$B$19,Penalty!$I$5,0)+G848)/D849,0))</f>
        <v>345.789278153858</v>
      </c>
      <c r="G849" s="25" t="n">
        <f aca="false">G848+E849*IF(D849&gt;0,(IF(A849&gt;Penalty!$B$19,Penalty!$I$5,0)+G848)/D849,0)</f>
        <v>46.6815525507708</v>
      </c>
    </row>
    <row r="850" customFormat="false" ht="15" hidden="false" customHeight="false" outlineLevel="0" collapsed="false">
      <c r="A850" s="23" t="n">
        <f aca="false">Penalty!$B$5+846</f>
        <v>46973</v>
      </c>
      <c r="B850" s="24" t="n">
        <f aca="false">IF(YEAR(A850)&gt;2026,Penalty!$B$16/100,IFERROR(INDEX(Rates!$B$4:$E$15,MATCH(YEAR(A850),Rates!$A$4:$A$15,0),ROUNDUP(MONTH(A850)/3,0))/100,0.03))</f>
        <v>0.07</v>
      </c>
      <c r="C850" s="25" t="n">
        <f aca="false">MAX(0,Penalty!$B$4-SUMIFS(Penalty!$C$10:$C$12,Penalty!$B$10:$B$12,"&lt;"&amp;A850))</f>
        <v>12000</v>
      </c>
      <c r="D850" s="25" t="n">
        <f aca="false">IF(A850&lt;=Penalty!$B$8,C850+F849+IF(A850&gt;Penalty!$B$19,Penalty!$I$5,0)+G849,0)</f>
        <v>0</v>
      </c>
      <c r="E850" s="26" t="n">
        <f aca="false">D850*B850/365</f>
        <v>0</v>
      </c>
      <c r="F850" s="25" t="n">
        <f aca="false">F849+E850*(1-IF(D850&gt;0,(IF(A850&gt;Penalty!$B$19,Penalty!$I$5,0)+G849)/D850,0))</f>
        <v>345.789278153858</v>
      </c>
      <c r="G850" s="25" t="n">
        <f aca="false">G849+E850*IF(D850&gt;0,(IF(A850&gt;Penalty!$B$19,Penalty!$I$5,0)+G849)/D850,0)</f>
        <v>46.6815525507708</v>
      </c>
    </row>
    <row r="851" customFormat="false" ht="15" hidden="false" customHeight="false" outlineLevel="0" collapsed="false">
      <c r="A851" s="23" t="n">
        <f aca="false">Penalty!$B$5+847</f>
        <v>46974</v>
      </c>
      <c r="B851" s="24" t="n">
        <f aca="false">IF(YEAR(A851)&gt;2026,Penalty!$B$16/100,IFERROR(INDEX(Rates!$B$4:$E$15,MATCH(YEAR(A851),Rates!$A$4:$A$15,0),ROUNDUP(MONTH(A851)/3,0))/100,0.03))</f>
        <v>0.07</v>
      </c>
      <c r="C851" s="25" t="n">
        <f aca="false">MAX(0,Penalty!$B$4-SUMIFS(Penalty!$C$10:$C$12,Penalty!$B$10:$B$12,"&lt;"&amp;A851))</f>
        <v>12000</v>
      </c>
      <c r="D851" s="25" t="n">
        <f aca="false">IF(A851&lt;=Penalty!$B$8,C851+F850+IF(A851&gt;Penalty!$B$19,Penalty!$I$5,0)+G850,0)</f>
        <v>0</v>
      </c>
      <c r="E851" s="26" t="n">
        <f aca="false">D851*B851/365</f>
        <v>0</v>
      </c>
      <c r="F851" s="25" t="n">
        <f aca="false">F850+E851*(1-IF(D851&gt;0,(IF(A851&gt;Penalty!$B$19,Penalty!$I$5,0)+G850)/D851,0))</f>
        <v>345.789278153858</v>
      </c>
      <c r="G851" s="25" t="n">
        <f aca="false">G850+E851*IF(D851&gt;0,(IF(A851&gt;Penalty!$B$19,Penalty!$I$5,0)+G850)/D851,0)</f>
        <v>46.6815525507708</v>
      </c>
    </row>
    <row r="852" customFormat="false" ht="15" hidden="false" customHeight="false" outlineLevel="0" collapsed="false">
      <c r="A852" s="23" t="n">
        <f aca="false">Penalty!$B$5+848</f>
        <v>46975</v>
      </c>
      <c r="B852" s="24" t="n">
        <f aca="false">IF(YEAR(A852)&gt;2026,Penalty!$B$16/100,IFERROR(INDEX(Rates!$B$4:$E$15,MATCH(YEAR(A852),Rates!$A$4:$A$15,0),ROUNDUP(MONTH(A852)/3,0))/100,0.03))</f>
        <v>0.07</v>
      </c>
      <c r="C852" s="25" t="n">
        <f aca="false">MAX(0,Penalty!$B$4-SUMIFS(Penalty!$C$10:$C$12,Penalty!$B$10:$B$12,"&lt;"&amp;A852))</f>
        <v>12000</v>
      </c>
      <c r="D852" s="25" t="n">
        <f aca="false">IF(A852&lt;=Penalty!$B$8,C852+F851+IF(A852&gt;Penalty!$B$19,Penalty!$I$5,0)+G851,0)</f>
        <v>0</v>
      </c>
      <c r="E852" s="26" t="n">
        <f aca="false">D852*B852/365</f>
        <v>0</v>
      </c>
      <c r="F852" s="25" t="n">
        <f aca="false">F851+E852*(1-IF(D852&gt;0,(IF(A852&gt;Penalty!$B$19,Penalty!$I$5,0)+G851)/D852,0))</f>
        <v>345.789278153858</v>
      </c>
      <c r="G852" s="25" t="n">
        <f aca="false">G851+E852*IF(D852&gt;0,(IF(A852&gt;Penalty!$B$19,Penalty!$I$5,0)+G851)/D852,0)</f>
        <v>46.6815525507708</v>
      </c>
    </row>
    <row r="853" customFormat="false" ht="15" hidden="false" customHeight="false" outlineLevel="0" collapsed="false">
      <c r="A853" s="23" t="n">
        <f aca="false">Penalty!$B$5+849</f>
        <v>46976</v>
      </c>
      <c r="B853" s="24" t="n">
        <f aca="false">IF(YEAR(A853)&gt;2026,Penalty!$B$16/100,IFERROR(INDEX(Rates!$B$4:$E$15,MATCH(YEAR(A853),Rates!$A$4:$A$15,0),ROUNDUP(MONTH(A853)/3,0))/100,0.03))</f>
        <v>0.07</v>
      </c>
      <c r="C853" s="25" t="n">
        <f aca="false">MAX(0,Penalty!$B$4-SUMIFS(Penalty!$C$10:$C$12,Penalty!$B$10:$B$12,"&lt;"&amp;A853))</f>
        <v>12000</v>
      </c>
      <c r="D853" s="25" t="n">
        <f aca="false">IF(A853&lt;=Penalty!$B$8,C853+F852+IF(A853&gt;Penalty!$B$19,Penalty!$I$5,0)+G852,0)</f>
        <v>0</v>
      </c>
      <c r="E853" s="26" t="n">
        <f aca="false">D853*B853/365</f>
        <v>0</v>
      </c>
      <c r="F853" s="25" t="n">
        <f aca="false">F852+E853*(1-IF(D853&gt;0,(IF(A853&gt;Penalty!$B$19,Penalty!$I$5,0)+G852)/D853,0))</f>
        <v>345.789278153858</v>
      </c>
      <c r="G853" s="25" t="n">
        <f aca="false">G852+E853*IF(D853&gt;0,(IF(A853&gt;Penalty!$B$19,Penalty!$I$5,0)+G852)/D853,0)</f>
        <v>46.6815525507708</v>
      </c>
    </row>
    <row r="854" customFormat="false" ht="15" hidden="false" customHeight="false" outlineLevel="0" collapsed="false">
      <c r="A854" s="23" t="n">
        <f aca="false">Penalty!$B$5+850</f>
        <v>46977</v>
      </c>
      <c r="B854" s="24" t="n">
        <f aca="false">IF(YEAR(A854)&gt;2026,Penalty!$B$16/100,IFERROR(INDEX(Rates!$B$4:$E$15,MATCH(YEAR(A854),Rates!$A$4:$A$15,0),ROUNDUP(MONTH(A854)/3,0))/100,0.03))</f>
        <v>0.07</v>
      </c>
      <c r="C854" s="25" t="n">
        <f aca="false">MAX(0,Penalty!$B$4-SUMIFS(Penalty!$C$10:$C$12,Penalty!$B$10:$B$12,"&lt;"&amp;A854))</f>
        <v>12000</v>
      </c>
      <c r="D854" s="25" t="n">
        <f aca="false">IF(A854&lt;=Penalty!$B$8,C854+F853+IF(A854&gt;Penalty!$B$19,Penalty!$I$5,0)+G853,0)</f>
        <v>0</v>
      </c>
      <c r="E854" s="26" t="n">
        <f aca="false">D854*B854/365</f>
        <v>0</v>
      </c>
      <c r="F854" s="25" t="n">
        <f aca="false">F853+E854*(1-IF(D854&gt;0,(IF(A854&gt;Penalty!$B$19,Penalty!$I$5,0)+G853)/D854,0))</f>
        <v>345.789278153858</v>
      </c>
      <c r="G854" s="25" t="n">
        <f aca="false">G853+E854*IF(D854&gt;0,(IF(A854&gt;Penalty!$B$19,Penalty!$I$5,0)+G853)/D854,0)</f>
        <v>46.6815525507708</v>
      </c>
    </row>
    <row r="855" customFormat="false" ht="15" hidden="false" customHeight="false" outlineLevel="0" collapsed="false">
      <c r="A855" s="23" t="n">
        <f aca="false">Penalty!$B$5+851</f>
        <v>46978</v>
      </c>
      <c r="B855" s="24" t="n">
        <f aca="false">IF(YEAR(A855)&gt;2026,Penalty!$B$16/100,IFERROR(INDEX(Rates!$B$4:$E$15,MATCH(YEAR(A855),Rates!$A$4:$A$15,0),ROUNDUP(MONTH(A855)/3,0))/100,0.03))</f>
        <v>0.07</v>
      </c>
      <c r="C855" s="25" t="n">
        <f aca="false">MAX(0,Penalty!$B$4-SUMIFS(Penalty!$C$10:$C$12,Penalty!$B$10:$B$12,"&lt;"&amp;A855))</f>
        <v>12000</v>
      </c>
      <c r="D855" s="25" t="n">
        <f aca="false">IF(A855&lt;=Penalty!$B$8,C855+F854+IF(A855&gt;Penalty!$B$19,Penalty!$I$5,0)+G854,0)</f>
        <v>0</v>
      </c>
      <c r="E855" s="26" t="n">
        <f aca="false">D855*B855/365</f>
        <v>0</v>
      </c>
      <c r="F855" s="25" t="n">
        <f aca="false">F854+E855*(1-IF(D855&gt;0,(IF(A855&gt;Penalty!$B$19,Penalty!$I$5,0)+G854)/D855,0))</f>
        <v>345.789278153858</v>
      </c>
      <c r="G855" s="25" t="n">
        <f aca="false">G854+E855*IF(D855&gt;0,(IF(A855&gt;Penalty!$B$19,Penalty!$I$5,0)+G854)/D855,0)</f>
        <v>46.6815525507708</v>
      </c>
    </row>
    <row r="856" customFormat="false" ht="15" hidden="false" customHeight="false" outlineLevel="0" collapsed="false">
      <c r="A856" s="23" t="n">
        <f aca="false">Penalty!$B$5+852</f>
        <v>46979</v>
      </c>
      <c r="B856" s="24" t="n">
        <f aca="false">IF(YEAR(A856)&gt;2026,Penalty!$B$16/100,IFERROR(INDEX(Rates!$B$4:$E$15,MATCH(YEAR(A856),Rates!$A$4:$A$15,0),ROUNDUP(MONTH(A856)/3,0))/100,0.03))</f>
        <v>0.07</v>
      </c>
      <c r="C856" s="25" t="n">
        <f aca="false">MAX(0,Penalty!$B$4-SUMIFS(Penalty!$C$10:$C$12,Penalty!$B$10:$B$12,"&lt;"&amp;A856))</f>
        <v>12000</v>
      </c>
      <c r="D856" s="25" t="n">
        <f aca="false">IF(A856&lt;=Penalty!$B$8,C856+F855+IF(A856&gt;Penalty!$B$19,Penalty!$I$5,0)+G855,0)</f>
        <v>0</v>
      </c>
      <c r="E856" s="26" t="n">
        <f aca="false">D856*B856/365</f>
        <v>0</v>
      </c>
      <c r="F856" s="25" t="n">
        <f aca="false">F855+E856*(1-IF(D856&gt;0,(IF(A856&gt;Penalty!$B$19,Penalty!$I$5,0)+G855)/D856,0))</f>
        <v>345.789278153858</v>
      </c>
      <c r="G856" s="25" t="n">
        <f aca="false">G855+E856*IF(D856&gt;0,(IF(A856&gt;Penalty!$B$19,Penalty!$I$5,0)+G855)/D856,0)</f>
        <v>46.6815525507708</v>
      </c>
    </row>
    <row r="857" customFormat="false" ht="15" hidden="false" customHeight="false" outlineLevel="0" collapsed="false">
      <c r="A857" s="23" t="n">
        <f aca="false">Penalty!$B$5+853</f>
        <v>46980</v>
      </c>
      <c r="B857" s="24" t="n">
        <f aca="false">IF(YEAR(A857)&gt;2026,Penalty!$B$16/100,IFERROR(INDEX(Rates!$B$4:$E$15,MATCH(YEAR(A857),Rates!$A$4:$A$15,0),ROUNDUP(MONTH(A857)/3,0))/100,0.03))</f>
        <v>0.07</v>
      </c>
      <c r="C857" s="25" t="n">
        <f aca="false">MAX(0,Penalty!$B$4-SUMIFS(Penalty!$C$10:$C$12,Penalty!$B$10:$B$12,"&lt;"&amp;A857))</f>
        <v>12000</v>
      </c>
      <c r="D857" s="25" t="n">
        <f aca="false">IF(A857&lt;=Penalty!$B$8,C857+F856+IF(A857&gt;Penalty!$B$19,Penalty!$I$5,0)+G856,0)</f>
        <v>0</v>
      </c>
      <c r="E857" s="26" t="n">
        <f aca="false">D857*B857/365</f>
        <v>0</v>
      </c>
      <c r="F857" s="25" t="n">
        <f aca="false">F856+E857*(1-IF(D857&gt;0,(IF(A857&gt;Penalty!$B$19,Penalty!$I$5,0)+G856)/D857,0))</f>
        <v>345.789278153858</v>
      </c>
      <c r="G857" s="25" t="n">
        <f aca="false">G856+E857*IF(D857&gt;0,(IF(A857&gt;Penalty!$B$19,Penalty!$I$5,0)+G856)/D857,0)</f>
        <v>46.6815525507708</v>
      </c>
    </row>
    <row r="858" customFormat="false" ht="15" hidden="false" customHeight="false" outlineLevel="0" collapsed="false">
      <c r="A858" s="23" t="n">
        <f aca="false">Penalty!$B$5+854</f>
        <v>46981</v>
      </c>
      <c r="B858" s="24" t="n">
        <f aca="false">IF(YEAR(A858)&gt;2026,Penalty!$B$16/100,IFERROR(INDEX(Rates!$B$4:$E$15,MATCH(YEAR(A858),Rates!$A$4:$A$15,0),ROUNDUP(MONTH(A858)/3,0))/100,0.03))</f>
        <v>0.07</v>
      </c>
      <c r="C858" s="25" t="n">
        <f aca="false">MAX(0,Penalty!$B$4-SUMIFS(Penalty!$C$10:$C$12,Penalty!$B$10:$B$12,"&lt;"&amp;A858))</f>
        <v>12000</v>
      </c>
      <c r="D858" s="25" t="n">
        <f aca="false">IF(A858&lt;=Penalty!$B$8,C858+F857+IF(A858&gt;Penalty!$B$19,Penalty!$I$5,0)+G857,0)</f>
        <v>0</v>
      </c>
      <c r="E858" s="26" t="n">
        <f aca="false">D858*B858/365</f>
        <v>0</v>
      </c>
      <c r="F858" s="25" t="n">
        <f aca="false">F857+E858*(1-IF(D858&gt;0,(IF(A858&gt;Penalty!$B$19,Penalty!$I$5,0)+G857)/D858,0))</f>
        <v>345.789278153858</v>
      </c>
      <c r="G858" s="25" t="n">
        <f aca="false">G857+E858*IF(D858&gt;0,(IF(A858&gt;Penalty!$B$19,Penalty!$I$5,0)+G857)/D858,0)</f>
        <v>46.6815525507708</v>
      </c>
    </row>
    <row r="859" customFormat="false" ht="15" hidden="false" customHeight="false" outlineLevel="0" collapsed="false">
      <c r="A859" s="23" t="n">
        <f aca="false">Penalty!$B$5+855</f>
        <v>46982</v>
      </c>
      <c r="B859" s="24" t="n">
        <f aca="false">IF(YEAR(A859)&gt;2026,Penalty!$B$16/100,IFERROR(INDEX(Rates!$B$4:$E$15,MATCH(YEAR(A859),Rates!$A$4:$A$15,0),ROUNDUP(MONTH(A859)/3,0))/100,0.03))</f>
        <v>0.07</v>
      </c>
      <c r="C859" s="25" t="n">
        <f aca="false">MAX(0,Penalty!$B$4-SUMIFS(Penalty!$C$10:$C$12,Penalty!$B$10:$B$12,"&lt;"&amp;A859))</f>
        <v>12000</v>
      </c>
      <c r="D859" s="25" t="n">
        <f aca="false">IF(A859&lt;=Penalty!$B$8,C859+F858+IF(A859&gt;Penalty!$B$19,Penalty!$I$5,0)+G858,0)</f>
        <v>0</v>
      </c>
      <c r="E859" s="26" t="n">
        <f aca="false">D859*B859/365</f>
        <v>0</v>
      </c>
      <c r="F859" s="25" t="n">
        <f aca="false">F858+E859*(1-IF(D859&gt;0,(IF(A859&gt;Penalty!$B$19,Penalty!$I$5,0)+G858)/D859,0))</f>
        <v>345.789278153858</v>
      </c>
      <c r="G859" s="25" t="n">
        <f aca="false">G858+E859*IF(D859&gt;0,(IF(A859&gt;Penalty!$B$19,Penalty!$I$5,0)+G858)/D859,0)</f>
        <v>46.6815525507708</v>
      </c>
    </row>
    <row r="860" customFormat="false" ht="15" hidden="false" customHeight="false" outlineLevel="0" collapsed="false">
      <c r="A860" s="23" t="n">
        <f aca="false">Penalty!$B$5+856</f>
        <v>46983</v>
      </c>
      <c r="B860" s="24" t="n">
        <f aca="false">IF(YEAR(A860)&gt;2026,Penalty!$B$16/100,IFERROR(INDEX(Rates!$B$4:$E$15,MATCH(YEAR(A860),Rates!$A$4:$A$15,0),ROUNDUP(MONTH(A860)/3,0))/100,0.03))</f>
        <v>0.07</v>
      </c>
      <c r="C860" s="25" t="n">
        <f aca="false">MAX(0,Penalty!$B$4-SUMIFS(Penalty!$C$10:$C$12,Penalty!$B$10:$B$12,"&lt;"&amp;A860))</f>
        <v>12000</v>
      </c>
      <c r="D860" s="25" t="n">
        <f aca="false">IF(A860&lt;=Penalty!$B$8,C860+F859+IF(A860&gt;Penalty!$B$19,Penalty!$I$5,0)+G859,0)</f>
        <v>0</v>
      </c>
      <c r="E860" s="26" t="n">
        <f aca="false">D860*B860/365</f>
        <v>0</v>
      </c>
      <c r="F860" s="25" t="n">
        <f aca="false">F859+E860*(1-IF(D860&gt;0,(IF(A860&gt;Penalty!$B$19,Penalty!$I$5,0)+G859)/D860,0))</f>
        <v>345.789278153858</v>
      </c>
      <c r="G860" s="25" t="n">
        <f aca="false">G859+E860*IF(D860&gt;0,(IF(A860&gt;Penalty!$B$19,Penalty!$I$5,0)+G859)/D860,0)</f>
        <v>46.6815525507708</v>
      </c>
    </row>
    <row r="861" customFormat="false" ht="15" hidden="false" customHeight="false" outlineLevel="0" collapsed="false">
      <c r="A861" s="23" t="n">
        <f aca="false">Penalty!$B$5+857</f>
        <v>46984</v>
      </c>
      <c r="B861" s="24" t="n">
        <f aca="false">IF(YEAR(A861)&gt;2026,Penalty!$B$16/100,IFERROR(INDEX(Rates!$B$4:$E$15,MATCH(YEAR(A861),Rates!$A$4:$A$15,0),ROUNDUP(MONTH(A861)/3,0))/100,0.03))</f>
        <v>0.07</v>
      </c>
      <c r="C861" s="25" t="n">
        <f aca="false">MAX(0,Penalty!$B$4-SUMIFS(Penalty!$C$10:$C$12,Penalty!$B$10:$B$12,"&lt;"&amp;A861))</f>
        <v>12000</v>
      </c>
      <c r="D861" s="25" t="n">
        <f aca="false">IF(A861&lt;=Penalty!$B$8,C861+F860+IF(A861&gt;Penalty!$B$19,Penalty!$I$5,0)+G860,0)</f>
        <v>0</v>
      </c>
      <c r="E861" s="26" t="n">
        <f aca="false">D861*B861/365</f>
        <v>0</v>
      </c>
      <c r="F861" s="25" t="n">
        <f aca="false">F860+E861*(1-IF(D861&gt;0,(IF(A861&gt;Penalty!$B$19,Penalty!$I$5,0)+G860)/D861,0))</f>
        <v>345.789278153858</v>
      </c>
      <c r="G861" s="25" t="n">
        <f aca="false">G860+E861*IF(D861&gt;0,(IF(A861&gt;Penalty!$B$19,Penalty!$I$5,0)+G860)/D861,0)</f>
        <v>46.6815525507708</v>
      </c>
    </row>
    <row r="862" customFormat="false" ht="15" hidden="false" customHeight="false" outlineLevel="0" collapsed="false">
      <c r="A862" s="23" t="n">
        <f aca="false">Penalty!$B$5+858</f>
        <v>46985</v>
      </c>
      <c r="B862" s="24" t="n">
        <f aca="false">IF(YEAR(A862)&gt;2026,Penalty!$B$16/100,IFERROR(INDEX(Rates!$B$4:$E$15,MATCH(YEAR(A862),Rates!$A$4:$A$15,0),ROUNDUP(MONTH(A862)/3,0))/100,0.03))</f>
        <v>0.07</v>
      </c>
      <c r="C862" s="25" t="n">
        <f aca="false">MAX(0,Penalty!$B$4-SUMIFS(Penalty!$C$10:$C$12,Penalty!$B$10:$B$12,"&lt;"&amp;A862))</f>
        <v>12000</v>
      </c>
      <c r="D862" s="25" t="n">
        <f aca="false">IF(A862&lt;=Penalty!$B$8,C862+F861+IF(A862&gt;Penalty!$B$19,Penalty!$I$5,0)+G861,0)</f>
        <v>0</v>
      </c>
      <c r="E862" s="26" t="n">
        <f aca="false">D862*B862/365</f>
        <v>0</v>
      </c>
      <c r="F862" s="25" t="n">
        <f aca="false">F861+E862*(1-IF(D862&gt;0,(IF(A862&gt;Penalty!$B$19,Penalty!$I$5,0)+G861)/D862,0))</f>
        <v>345.789278153858</v>
      </c>
      <c r="G862" s="25" t="n">
        <f aca="false">G861+E862*IF(D862&gt;0,(IF(A862&gt;Penalty!$B$19,Penalty!$I$5,0)+G861)/D862,0)</f>
        <v>46.6815525507708</v>
      </c>
    </row>
    <row r="863" customFormat="false" ht="15" hidden="false" customHeight="false" outlineLevel="0" collapsed="false">
      <c r="A863" s="23" t="n">
        <f aca="false">Penalty!$B$5+859</f>
        <v>46986</v>
      </c>
      <c r="B863" s="24" t="n">
        <f aca="false">IF(YEAR(A863)&gt;2026,Penalty!$B$16/100,IFERROR(INDEX(Rates!$B$4:$E$15,MATCH(YEAR(A863),Rates!$A$4:$A$15,0),ROUNDUP(MONTH(A863)/3,0))/100,0.03))</f>
        <v>0.07</v>
      </c>
      <c r="C863" s="25" t="n">
        <f aca="false">MAX(0,Penalty!$B$4-SUMIFS(Penalty!$C$10:$C$12,Penalty!$B$10:$B$12,"&lt;"&amp;A863))</f>
        <v>12000</v>
      </c>
      <c r="D863" s="25" t="n">
        <f aca="false">IF(A863&lt;=Penalty!$B$8,C863+F862+IF(A863&gt;Penalty!$B$19,Penalty!$I$5,0)+G862,0)</f>
        <v>0</v>
      </c>
      <c r="E863" s="26" t="n">
        <f aca="false">D863*B863/365</f>
        <v>0</v>
      </c>
      <c r="F863" s="25" t="n">
        <f aca="false">F862+E863*(1-IF(D863&gt;0,(IF(A863&gt;Penalty!$B$19,Penalty!$I$5,0)+G862)/D863,0))</f>
        <v>345.789278153858</v>
      </c>
      <c r="G863" s="25" t="n">
        <f aca="false">G862+E863*IF(D863&gt;0,(IF(A863&gt;Penalty!$B$19,Penalty!$I$5,0)+G862)/D863,0)</f>
        <v>46.6815525507708</v>
      </c>
    </row>
    <row r="864" customFormat="false" ht="15" hidden="false" customHeight="false" outlineLevel="0" collapsed="false">
      <c r="A864" s="23" t="n">
        <f aca="false">Penalty!$B$5+860</f>
        <v>46987</v>
      </c>
      <c r="B864" s="24" t="n">
        <f aca="false">IF(YEAR(A864)&gt;2026,Penalty!$B$16/100,IFERROR(INDEX(Rates!$B$4:$E$15,MATCH(YEAR(A864),Rates!$A$4:$A$15,0),ROUNDUP(MONTH(A864)/3,0))/100,0.03))</f>
        <v>0.07</v>
      </c>
      <c r="C864" s="25" t="n">
        <f aca="false">MAX(0,Penalty!$B$4-SUMIFS(Penalty!$C$10:$C$12,Penalty!$B$10:$B$12,"&lt;"&amp;A864))</f>
        <v>12000</v>
      </c>
      <c r="D864" s="25" t="n">
        <f aca="false">IF(A864&lt;=Penalty!$B$8,C864+F863+IF(A864&gt;Penalty!$B$19,Penalty!$I$5,0)+G863,0)</f>
        <v>0</v>
      </c>
      <c r="E864" s="26" t="n">
        <f aca="false">D864*B864/365</f>
        <v>0</v>
      </c>
      <c r="F864" s="25" t="n">
        <f aca="false">F863+E864*(1-IF(D864&gt;0,(IF(A864&gt;Penalty!$B$19,Penalty!$I$5,0)+G863)/D864,0))</f>
        <v>345.789278153858</v>
      </c>
      <c r="G864" s="25" t="n">
        <f aca="false">G863+E864*IF(D864&gt;0,(IF(A864&gt;Penalty!$B$19,Penalty!$I$5,0)+G863)/D864,0)</f>
        <v>46.6815525507708</v>
      </c>
    </row>
    <row r="865" customFormat="false" ht="15" hidden="false" customHeight="false" outlineLevel="0" collapsed="false">
      <c r="A865" s="23" t="n">
        <f aca="false">Penalty!$B$5+861</f>
        <v>46988</v>
      </c>
      <c r="B865" s="24" t="n">
        <f aca="false">IF(YEAR(A865)&gt;2026,Penalty!$B$16/100,IFERROR(INDEX(Rates!$B$4:$E$15,MATCH(YEAR(A865),Rates!$A$4:$A$15,0),ROUNDUP(MONTH(A865)/3,0))/100,0.03))</f>
        <v>0.07</v>
      </c>
      <c r="C865" s="25" t="n">
        <f aca="false">MAX(0,Penalty!$B$4-SUMIFS(Penalty!$C$10:$C$12,Penalty!$B$10:$B$12,"&lt;"&amp;A865))</f>
        <v>12000</v>
      </c>
      <c r="D865" s="25" t="n">
        <f aca="false">IF(A865&lt;=Penalty!$B$8,C865+F864+IF(A865&gt;Penalty!$B$19,Penalty!$I$5,0)+G864,0)</f>
        <v>0</v>
      </c>
      <c r="E865" s="26" t="n">
        <f aca="false">D865*B865/365</f>
        <v>0</v>
      </c>
      <c r="F865" s="25" t="n">
        <f aca="false">F864+E865*(1-IF(D865&gt;0,(IF(A865&gt;Penalty!$B$19,Penalty!$I$5,0)+G864)/D865,0))</f>
        <v>345.789278153858</v>
      </c>
      <c r="G865" s="25" t="n">
        <f aca="false">G864+E865*IF(D865&gt;0,(IF(A865&gt;Penalty!$B$19,Penalty!$I$5,0)+G864)/D865,0)</f>
        <v>46.6815525507708</v>
      </c>
    </row>
    <row r="866" customFormat="false" ht="15" hidden="false" customHeight="false" outlineLevel="0" collapsed="false">
      <c r="A866" s="23" t="n">
        <f aca="false">Penalty!$B$5+862</f>
        <v>46989</v>
      </c>
      <c r="B866" s="24" t="n">
        <f aca="false">IF(YEAR(A866)&gt;2026,Penalty!$B$16/100,IFERROR(INDEX(Rates!$B$4:$E$15,MATCH(YEAR(A866),Rates!$A$4:$A$15,0),ROUNDUP(MONTH(A866)/3,0))/100,0.03))</f>
        <v>0.07</v>
      </c>
      <c r="C866" s="25" t="n">
        <f aca="false">MAX(0,Penalty!$B$4-SUMIFS(Penalty!$C$10:$C$12,Penalty!$B$10:$B$12,"&lt;"&amp;A866))</f>
        <v>12000</v>
      </c>
      <c r="D866" s="25" t="n">
        <f aca="false">IF(A866&lt;=Penalty!$B$8,C866+F865+IF(A866&gt;Penalty!$B$19,Penalty!$I$5,0)+G865,0)</f>
        <v>0</v>
      </c>
      <c r="E866" s="26" t="n">
        <f aca="false">D866*B866/365</f>
        <v>0</v>
      </c>
      <c r="F866" s="25" t="n">
        <f aca="false">F865+E866*(1-IF(D866&gt;0,(IF(A866&gt;Penalty!$B$19,Penalty!$I$5,0)+G865)/D866,0))</f>
        <v>345.789278153858</v>
      </c>
      <c r="G866" s="25" t="n">
        <f aca="false">G865+E866*IF(D866&gt;0,(IF(A866&gt;Penalty!$B$19,Penalty!$I$5,0)+G865)/D866,0)</f>
        <v>46.6815525507708</v>
      </c>
    </row>
    <row r="867" customFormat="false" ht="15" hidden="false" customHeight="false" outlineLevel="0" collapsed="false">
      <c r="A867" s="23" t="n">
        <f aca="false">Penalty!$B$5+863</f>
        <v>46990</v>
      </c>
      <c r="B867" s="24" t="n">
        <f aca="false">IF(YEAR(A867)&gt;2026,Penalty!$B$16/100,IFERROR(INDEX(Rates!$B$4:$E$15,MATCH(YEAR(A867),Rates!$A$4:$A$15,0),ROUNDUP(MONTH(A867)/3,0))/100,0.03))</f>
        <v>0.07</v>
      </c>
      <c r="C867" s="25" t="n">
        <f aca="false">MAX(0,Penalty!$B$4-SUMIFS(Penalty!$C$10:$C$12,Penalty!$B$10:$B$12,"&lt;"&amp;A867))</f>
        <v>12000</v>
      </c>
      <c r="D867" s="25" t="n">
        <f aca="false">IF(A867&lt;=Penalty!$B$8,C867+F866+IF(A867&gt;Penalty!$B$19,Penalty!$I$5,0)+G866,0)</f>
        <v>0</v>
      </c>
      <c r="E867" s="26" t="n">
        <f aca="false">D867*B867/365</f>
        <v>0</v>
      </c>
      <c r="F867" s="25" t="n">
        <f aca="false">F866+E867*(1-IF(D867&gt;0,(IF(A867&gt;Penalty!$B$19,Penalty!$I$5,0)+G866)/D867,0))</f>
        <v>345.789278153858</v>
      </c>
      <c r="G867" s="25" t="n">
        <f aca="false">G866+E867*IF(D867&gt;0,(IF(A867&gt;Penalty!$B$19,Penalty!$I$5,0)+G866)/D867,0)</f>
        <v>46.6815525507708</v>
      </c>
    </row>
    <row r="868" customFormat="false" ht="15" hidden="false" customHeight="false" outlineLevel="0" collapsed="false">
      <c r="A868" s="23" t="n">
        <f aca="false">Penalty!$B$5+864</f>
        <v>46991</v>
      </c>
      <c r="B868" s="24" t="n">
        <f aca="false">IF(YEAR(A868)&gt;2026,Penalty!$B$16/100,IFERROR(INDEX(Rates!$B$4:$E$15,MATCH(YEAR(A868),Rates!$A$4:$A$15,0),ROUNDUP(MONTH(A868)/3,0))/100,0.03))</f>
        <v>0.07</v>
      </c>
      <c r="C868" s="25" t="n">
        <f aca="false">MAX(0,Penalty!$B$4-SUMIFS(Penalty!$C$10:$C$12,Penalty!$B$10:$B$12,"&lt;"&amp;A868))</f>
        <v>12000</v>
      </c>
      <c r="D868" s="25" t="n">
        <f aca="false">IF(A868&lt;=Penalty!$B$8,C868+F867+IF(A868&gt;Penalty!$B$19,Penalty!$I$5,0)+G867,0)</f>
        <v>0</v>
      </c>
      <c r="E868" s="26" t="n">
        <f aca="false">D868*B868/365</f>
        <v>0</v>
      </c>
      <c r="F868" s="25" t="n">
        <f aca="false">F867+E868*(1-IF(D868&gt;0,(IF(A868&gt;Penalty!$B$19,Penalty!$I$5,0)+G867)/D868,0))</f>
        <v>345.789278153858</v>
      </c>
      <c r="G868" s="25" t="n">
        <f aca="false">G867+E868*IF(D868&gt;0,(IF(A868&gt;Penalty!$B$19,Penalty!$I$5,0)+G867)/D868,0)</f>
        <v>46.6815525507708</v>
      </c>
    </row>
    <row r="869" customFormat="false" ht="15" hidden="false" customHeight="false" outlineLevel="0" collapsed="false">
      <c r="A869" s="23" t="n">
        <f aca="false">Penalty!$B$5+865</f>
        <v>46992</v>
      </c>
      <c r="B869" s="24" t="n">
        <f aca="false">IF(YEAR(A869)&gt;2026,Penalty!$B$16/100,IFERROR(INDEX(Rates!$B$4:$E$15,MATCH(YEAR(A869),Rates!$A$4:$A$15,0),ROUNDUP(MONTH(A869)/3,0))/100,0.03))</f>
        <v>0.07</v>
      </c>
      <c r="C869" s="25" t="n">
        <f aca="false">MAX(0,Penalty!$B$4-SUMIFS(Penalty!$C$10:$C$12,Penalty!$B$10:$B$12,"&lt;"&amp;A869))</f>
        <v>12000</v>
      </c>
      <c r="D869" s="25" t="n">
        <f aca="false">IF(A869&lt;=Penalty!$B$8,C869+F868+IF(A869&gt;Penalty!$B$19,Penalty!$I$5,0)+G868,0)</f>
        <v>0</v>
      </c>
      <c r="E869" s="26" t="n">
        <f aca="false">D869*B869/365</f>
        <v>0</v>
      </c>
      <c r="F869" s="25" t="n">
        <f aca="false">F868+E869*(1-IF(D869&gt;0,(IF(A869&gt;Penalty!$B$19,Penalty!$I$5,0)+G868)/D869,0))</f>
        <v>345.789278153858</v>
      </c>
      <c r="G869" s="25" t="n">
        <f aca="false">G868+E869*IF(D869&gt;0,(IF(A869&gt;Penalty!$B$19,Penalty!$I$5,0)+G868)/D869,0)</f>
        <v>46.6815525507708</v>
      </c>
    </row>
    <row r="870" customFormat="false" ht="15" hidden="false" customHeight="false" outlineLevel="0" collapsed="false">
      <c r="A870" s="23" t="n">
        <f aca="false">Penalty!$B$5+866</f>
        <v>46993</v>
      </c>
      <c r="B870" s="24" t="n">
        <f aca="false">IF(YEAR(A870)&gt;2026,Penalty!$B$16/100,IFERROR(INDEX(Rates!$B$4:$E$15,MATCH(YEAR(A870),Rates!$A$4:$A$15,0),ROUNDUP(MONTH(A870)/3,0))/100,0.03))</f>
        <v>0.07</v>
      </c>
      <c r="C870" s="25" t="n">
        <f aca="false">MAX(0,Penalty!$B$4-SUMIFS(Penalty!$C$10:$C$12,Penalty!$B$10:$B$12,"&lt;"&amp;A870))</f>
        <v>12000</v>
      </c>
      <c r="D870" s="25" t="n">
        <f aca="false">IF(A870&lt;=Penalty!$B$8,C870+F869+IF(A870&gt;Penalty!$B$19,Penalty!$I$5,0)+G869,0)</f>
        <v>0</v>
      </c>
      <c r="E870" s="26" t="n">
        <f aca="false">D870*B870/365</f>
        <v>0</v>
      </c>
      <c r="F870" s="25" t="n">
        <f aca="false">F869+E870*(1-IF(D870&gt;0,(IF(A870&gt;Penalty!$B$19,Penalty!$I$5,0)+G869)/D870,0))</f>
        <v>345.789278153858</v>
      </c>
      <c r="G870" s="25" t="n">
        <f aca="false">G869+E870*IF(D870&gt;0,(IF(A870&gt;Penalty!$B$19,Penalty!$I$5,0)+G869)/D870,0)</f>
        <v>46.6815525507708</v>
      </c>
    </row>
    <row r="871" customFormat="false" ht="15" hidden="false" customHeight="false" outlineLevel="0" collapsed="false">
      <c r="A871" s="23" t="n">
        <f aca="false">Penalty!$B$5+867</f>
        <v>46994</v>
      </c>
      <c r="B871" s="24" t="n">
        <f aca="false">IF(YEAR(A871)&gt;2026,Penalty!$B$16/100,IFERROR(INDEX(Rates!$B$4:$E$15,MATCH(YEAR(A871),Rates!$A$4:$A$15,0),ROUNDUP(MONTH(A871)/3,0))/100,0.03))</f>
        <v>0.07</v>
      </c>
      <c r="C871" s="25" t="n">
        <f aca="false">MAX(0,Penalty!$B$4-SUMIFS(Penalty!$C$10:$C$12,Penalty!$B$10:$B$12,"&lt;"&amp;A871))</f>
        <v>12000</v>
      </c>
      <c r="D871" s="25" t="n">
        <f aca="false">IF(A871&lt;=Penalty!$B$8,C871+F870+IF(A871&gt;Penalty!$B$19,Penalty!$I$5,0)+G870,0)</f>
        <v>0</v>
      </c>
      <c r="E871" s="26" t="n">
        <f aca="false">D871*B871/365</f>
        <v>0</v>
      </c>
      <c r="F871" s="25" t="n">
        <f aca="false">F870+E871*(1-IF(D871&gt;0,(IF(A871&gt;Penalty!$B$19,Penalty!$I$5,0)+G870)/D871,0))</f>
        <v>345.789278153858</v>
      </c>
      <c r="G871" s="25" t="n">
        <f aca="false">G870+E871*IF(D871&gt;0,(IF(A871&gt;Penalty!$B$19,Penalty!$I$5,0)+G870)/D871,0)</f>
        <v>46.6815525507708</v>
      </c>
    </row>
    <row r="872" customFormat="false" ht="15" hidden="false" customHeight="false" outlineLevel="0" collapsed="false">
      <c r="A872" s="23" t="n">
        <f aca="false">Penalty!$B$5+868</f>
        <v>46995</v>
      </c>
      <c r="B872" s="24" t="n">
        <f aca="false">IF(YEAR(A872)&gt;2026,Penalty!$B$16/100,IFERROR(INDEX(Rates!$B$4:$E$15,MATCH(YEAR(A872),Rates!$A$4:$A$15,0),ROUNDUP(MONTH(A872)/3,0))/100,0.03))</f>
        <v>0.07</v>
      </c>
      <c r="C872" s="25" t="n">
        <f aca="false">MAX(0,Penalty!$B$4-SUMIFS(Penalty!$C$10:$C$12,Penalty!$B$10:$B$12,"&lt;"&amp;A872))</f>
        <v>12000</v>
      </c>
      <c r="D872" s="25" t="n">
        <f aca="false">IF(A872&lt;=Penalty!$B$8,C872+F871+IF(A872&gt;Penalty!$B$19,Penalty!$I$5,0)+G871,0)</f>
        <v>0</v>
      </c>
      <c r="E872" s="26" t="n">
        <f aca="false">D872*B872/365</f>
        <v>0</v>
      </c>
      <c r="F872" s="25" t="n">
        <f aca="false">F871+E872*(1-IF(D872&gt;0,(IF(A872&gt;Penalty!$B$19,Penalty!$I$5,0)+G871)/D872,0))</f>
        <v>345.789278153858</v>
      </c>
      <c r="G872" s="25" t="n">
        <f aca="false">G871+E872*IF(D872&gt;0,(IF(A872&gt;Penalty!$B$19,Penalty!$I$5,0)+G871)/D872,0)</f>
        <v>46.6815525507708</v>
      </c>
    </row>
    <row r="873" customFormat="false" ht="15" hidden="false" customHeight="false" outlineLevel="0" collapsed="false">
      <c r="A873" s="23" t="n">
        <f aca="false">Penalty!$B$5+869</f>
        <v>46996</v>
      </c>
      <c r="B873" s="24" t="n">
        <f aca="false">IF(YEAR(A873)&gt;2026,Penalty!$B$16/100,IFERROR(INDEX(Rates!$B$4:$E$15,MATCH(YEAR(A873),Rates!$A$4:$A$15,0),ROUNDUP(MONTH(A873)/3,0))/100,0.03))</f>
        <v>0.07</v>
      </c>
      <c r="C873" s="25" t="n">
        <f aca="false">MAX(0,Penalty!$B$4-SUMIFS(Penalty!$C$10:$C$12,Penalty!$B$10:$B$12,"&lt;"&amp;A873))</f>
        <v>12000</v>
      </c>
      <c r="D873" s="25" t="n">
        <f aca="false">IF(A873&lt;=Penalty!$B$8,C873+F872+IF(A873&gt;Penalty!$B$19,Penalty!$I$5,0)+G872,0)</f>
        <v>0</v>
      </c>
      <c r="E873" s="26" t="n">
        <f aca="false">D873*B873/365</f>
        <v>0</v>
      </c>
      <c r="F873" s="25" t="n">
        <f aca="false">F872+E873*(1-IF(D873&gt;0,(IF(A873&gt;Penalty!$B$19,Penalty!$I$5,0)+G872)/D873,0))</f>
        <v>345.789278153858</v>
      </c>
      <c r="G873" s="25" t="n">
        <f aca="false">G872+E873*IF(D873&gt;0,(IF(A873&gt;Penalty!$B$19,Penalty!$I$5,0)+G872)/D873,0)</f>
        <v>46.6815525507708</v>
      </c>
    </row>
    <row r="874" customFormat="false" ht="15" hidden="false" customHeight="false" outlineLevel="0" collapsed="false">
      <c r="A874" s="23" t="n">
        <f aca="false">Penalty!$B$5+870</f>
        <v>46997</v>
      </c>
      <c r="B874" s="24" t="n">
        <f aca="false">IF(YEAR(A874)&gt;2026,Penalty!$B$16/100,IFERROR(INDEX(Rates!$B$4:$E$15,MATCH(YEAR(A874),Rates!$A$4:$A$15,0),ROUNDUP(MONTH(A874)/3,0))/100,0.03))</f>
        <v>0.07</v>
      </c>
      <c r="C874" s="25" t="n">
        <f aca="false">MAX(0,Penalty!$B$4-SUMIFS(Penalty!$C$10:$C$12,Penalty!$B$10:$B$12,"&lt;"&amp;A874))</f>
        <v>12000</v>
      </c>
      <c r="D874" s="25" t="n">
        <f aca="false">IF(A874&lt;=Penalty!$B$8,C874+F873+IF(A874&gt;Penalty!$B$19,Penalty!$I$5,0)+G873,0)</f>
        <v>0</v>
      </c>
      <c r="E874" s="26" t="n">
        <f aca="false">D874*B874/365</f>
        <v>0</v>
      </c>
      <c r="F874" s="25" t="n">
        <f aca="false">F873+E874*(1-IF(D874&gt;0,(IF(A874&gt;Penalty!$B$19,Penalty!$I$5,0)+G873)/D874,0))</f>
        <v>345.789278153858</v>
      </c>
      <c r="G874" s="25" t="n">
        <f aca="false">G873+E874*IF(D874&gt;0,(IF(A874&gt;Penalty!$B$19,Penalty!$I$5,0)+G873)/D874,0)</f>
        <v>46.6815525507708</v>
      </c>
    </row>
    <row r="875" customFormat="false" ht="15" hidden="false" customHeight="false" outlineLevel="0" collapsed="false">
      <c r="A875" s="23" t="n">
        <f aca="false">Penalty!$B$5+871</f>
        <v>46998</v>
      </c>
      <c r="B875" s="24" t="n">
        <f aca="false">IF(YEAR(A875)&gt;2026,Penalty!$B$16/100,IFERROR(INDEX(Rates!$B$4:$E$15,MATCH(YEAR(A875),Rates!$A$4:$A$15,0),ROUNDUP(MONTH(A875)/3,0))/100,0.03))</f>
        <v>0.07</v>
      </c>
      <c r="C875" s="25" t="n">
        <f aca="false">MAX(0,Penalty!$B$4-SUMIFS(Penalty!$C$10:$C$12,Penalty!$B$10:$B$12,"&lt;"&amp;A875))</f>
        <v>12000</v>
      </c>
      <c r="D875" s="25" t="n">
        <f aca="false">IF(A875&lt;=Penalty!$B$8,C875+F874+IF(A875&gt;Penalty!$B$19,Penalty!$I$5,0)+G874,0)</f>
        <v>0</v>
      </c>
      <c r="E875" s="26" t="n">
        <f aca="false">D875*B875/365</f>
        <v>0</v>
      </c>
      <c r="F875" s="25" t="n">
        <f aca="false">F874+E875*(1-IF(D875&gt;0,(IF(A875&gt;Penalty!$B$19,Penalty!$I$5,0)+G874)/D875,0))</f>
        <v>345.789278153858</v>
      </c>
      <c r="G875" s="25" t="n">
        <f aca="false">G874+E875*IF(D875&gt;0,(IF(A875&gt;Penalty!$B$19,Penalty!$I$5,0)+G874)/D875,0)</f>
        <v>46.6815525507708</v>
      </c>
    </row>
    <row r="876" customFormat="false" ht="15" hidden="false" customHeight="false" outlineLevel="0" collapsed="false">
      <c r="A876" s="23" t="n">
        <f aca="false">Penalty!$B$5+872</f>
        <v>46999</v>
      </c>
      <c r="B876" s="24" t="n">
        <f aca="false">IF(YEAR(A876)&gt;2026,Penalty!$B$16/100,IFERROR(INDEX(Rates!$B$4:$E$15,MATCH(YEAR(A876),Rates!$A$4:$A$15,0),ROUNDUP(MONTH(A876)/3,0))/100,0.03))</f>
        <v>0.07</v>
      </c>
      <c r="C876" s="25" t="n">
        <f aca="false">MAX(0,Penalty!$B$4-SUMIFS(Penalty!$C$10:$C$12,Penalty!$B$10:$B$12,"&lt;"&amp;A876))</f>
        <v>12000</v>
      </c>
      <c r="D876" s="25" t="n">
        <f aca="false">IF(A876&lt;=Penalty!$B$8,C876+F875+IF(A876&gt;Penalty!$B$19,Penalty!$I$5,0)+G875,0)</f>
        <v>0</v>
      </c>
      <c r="E876" s="26" t="n">
        <f aca="false">D876*B876/365</f>
        <v>0</v>
      </c>
      <c r="F876" s="25" t="n">
        <f aca="false">F875+E876*(1-IF(D876&gt;0,(IF(A876&gt;Penalty!$B$19,Penalty!$I$5,0)+G875)/D876,0))</f>
        <v>345.789278153858</v>
      </c>
      <c r="G876" s="25" t="n">
        <f aca="false">G875+E876*IF(D876&gt;0,(IF(A876&gt;Penalty!$B$19,Penalty!$I$5,0)+G875)/D876,0)</f>
        <v>46.6815525507708</v>
      </c>
    </row>
    <row r="877" customFormat="false" ht="15" hidden="false" customHeight="false" outlineLevel="0" collapsed="false">
      <c r="A877" s="23" t="n">
        <f aca="false">Penalty!$B$5+873</f>
        <v>47000</v>
      </c>
      <c r="B877" s="24" t="n">
        <f aca="false">IF(YEAR(A877)&gt;2026,Penalty!$B$16/100,IFERROR(INDEX(Rates!$B$4:$E$15,MATCH(YEAR(A877),Rates!$A$4:$A$15,0),ROUNDUP(MONTH(A877)/3,0))/100,0.03))</f>
        <v>0.07</v>
      </c>
      <c r="C877" s="25" t="n">
        <f aca="false">MAX(0,Penalty!$B$4-SUMIFS(Penalty!$C$10:$C$12,Penalty!$B$10:$B$12,"&lt;"&amp;A877))</f>
        <v>12000</v>
      </c>
      <c r="D877" s="25" t="n">
        <f aca="false">IF(A877&lt;=Penalty!$B$8,C877+F876+IF(A877&gt;Penalty!$B$19,Penalty!$I$5,0)+G876,0)</f>
        <v>0</v>
      </c>
      <c r="E877" s="26" t="n">
        <f aca="false">D877*B877/365</f>
        <v>0</v>
      </c>
      <c r="F877" s="25" t="n">
        <f aca="false">F876+E877*(1-IF(D877&gt;0,(IF(A877&gt;Penalty!$B$19,Penalty!$I$5,0)+G876)/D877,0))</f>
        <v>345.789278153858</v>
      </c>
      <c r="G877" s="25" t="n">
        <f aca="false">G876+E877*IF(D877&gt;0,(IF(A877&gt;Penalty!$B$19,Penalty!$I$5,0)+G876)/D877,0)</f>
        <v>46.6815525507708</v>
      </c>
    </row>
    <row r="878" customFormat="false" ht="15" hidden="false" customHeight="false" outlineLevel="0" collapsed="false">
      <c r="A878" s="23" t="n">
        <f aca="false">Penalty!$B$5+874</f>
        <v>47001</v>
      </c>
      <c r="B878" s="24" t="n">
        <f aca="false">IF(YEAR(A878)&gt;2026,Penalty!$B$16/100,IFERROR(INDEX(Rates!$B$4:$E$15,MATCH(YEAR(A878),Rates!$A$4:$A$15,0),ROUNDUP(MONTH(A878)/3,0))/100,0.03))</f>
        <v>0.07</v>
      </c>
      <c r="C878" s="25" t="n">
        <f aca="false">MAX(0,Penalty!$B$4-SUMIFS(Penalty!$C$10:$C$12,Penalty!$B$10:$B$12,"&lt;"&amp;A878))</f>
        <v>12000</v>
      </c>
      <c r="D878" s="25" t="n">
        <f aca="false">IF(A878&lt;=Penalty!$B$8,C878+F877+IF(A878&gt;Penalty!$B$19,Penalty!$I$5,0)+G877,0)</f>
        <v>0</v>
      </c>
      <c r="E878" s="26" t="n">
        <f aca="false">D878*B878/365</f>
        <v>0</v>
      </c>
      <c r="F878" s="25" t="n">
        <f aca="false">F877+E878*(1-IF(D878&gt;0,(IF(A878&gt;Penalty!$B$19,Penalty!$I$5,0)+G877)/D878,0))</f>
        <v>345.789278153858</v>
      </c>
      <c r="G878" s="25" t="n">
        <f aca="false">G877+E878*IF(D878&gt;0,(IF(A878&gt;Penalty!$B$19,Penalty!$I$5,0)+G877)/D878,0)</f>
        <v>46.6815525507708</v>
      </c>
    </row>
    <row r="879" customFormat="false" ht="15" hidden="false" customHeight="false" outlineLevel="0" collapsed="false">
      <c r="A879" s="23" t="n">
        <f aca="false">Penalty!$B$5+875</f>
        <v>47002</v>
      </c>
      <c r="B879" s="24" t="n">
        <f aca="false">IF(YEAR(A879)&gt;2026,Penalty!$B$16/100,IFERROR(INDEX(Rates!$B$4:$E$15,MATCH(YEAR(A879),Rates!$A$4:$A$15,0),ROUNDUP(MONTH(A879)/3,0))/100,0.03))</f>
        <v>0.07</v>
      </c>
      <c r="C879" s="25" t="n">
        <f aca="false">MAX(0,Penalty!$B$4-SUMIFS(Penalty!$C$10:$C$12,Penalty!$B$10:$B$12,"&lt;"&amp;A879))</f>
        <v>12000</v>
      </c>
      <c r="D879" s="25" t="n">
        <f aca="false">IF(A879&lt;=Penalty!$B$8,C879+F878+IF(A879&gt;Penalty!$B$19,Penalty!$I$5,0)+G878,0)</f>
        <v>0</v>
      </c>
      <c r="E879" s="26" t="n">
        <f aca="false">D879*B879/365</f>
        <v>0</v>
      </c>
      <c r="F879" s="25" t="n">
        <f aca="false">F878+E879*(1-IF(D879&gt;0,(IF(A879&gt;Penalty!$B$19,Penalty!$I$5,0)+G878)/D879,0))</f>
        <v>345.789278153858</v>
      </c>
      <c r="G879" s="25" t="n">
        <f aca="false">G878+E879*IF(D879&gt;0,(IF(A879&gt;Penalty!$B$19,Penalty!$I$5,0)+G878)/D879,0)</f>
        <v>46.6815525507708</v>
      </c>
    </row>
    <row r="880" customFormat="false" ht="15" hidden="false" customHeight="false" outlineLevel="0" collapsed="false">
      <c r="A880" s="23" t="n">
        <f aca="false">Penalty!$B$5+876</f>
        <v>47003</v>
      </c>
      <c r="B880" s="24" t="n">
        <f aca="false">IF(YEAR(A880)&gt;2026,Penalty!$B$16/100,IFERROR(INDEX(Rates!$B$4:$E$15,MATCH(YEAR(A880),Rates!$A$4:$A$15,0),ROUNDUP(MONTH(A880)/3,0))/100,0.03))</f>
        <v>0.07</v>
      </c>
      <c r="C880" s="25" t="n">
        <f aca="false">MAX(0,Penalty!$B$4-SUMIFS(Penalty!$C$10:$C$12,Penalty!$B$10:$B$12,"&lt;"&amp;A880))</f>
        <v>12000</v>
      </c>
      <c r="D880" s="25" t="n">
        <f aca="false">IF(A880&lt;=Penalty!$B$8,C880+F879+IF(A880&gt;Penalty!$B$19,Penalty!$I$5,0)+G879,0)</f>
        <v>0</v>
      </c>
      <c r="E880" s="26" t="n">
        <f aca="false">D880*B880/365</f>
        <v>0</v>
      </c>
      <c r="F880" s="25" t="n">
        <f aca="false">F879+E880*(1-IF(D880&gt;0,(IF(A880&gt;Penalty!$B$19,Penalty!$I$5,0)+G879)/D880,0))</f>
        <v>345.789278153858</v>
      </c>
      <c r="G880" s="25" t="n">
        <f aca="false">G879+E880*IF(D880&gt;0,(IF(A880&gt;Penalty!$B$19,Penalty!$I$5,0)+G879)/D880,0)</f>
        <v>46.6815525507708</v>
      </c>
    </row>
    <row r="881" customFormat="false" ht="15" hidden="false" customHeight="false" outlineLevel="0" collapsed="false">
      <c r="A881" s="23" t="n">
        <f aca="false">Penalty!$B$5+877</f>
        <v>47004</v>
      </c>
      <c r="B881" s="24" t="n">
        <f aca="false">IF(YEAR(A881)&gt;2026,Penalty!$B$16/100,IFERROR(INDEX(Rates!$B$4:$E$15,MATCH(YEAR(A881),Rates!$A$4:$A$15,0),ROUNDUP(MONTH(A881)/3,0))/100,0.03))</f>
        <v>0.07</v>
      </c>
      <c r="C881" s="25" t="n">
        <f aca="false">MAX(0,Penalty!$B$4-SUMIFS(Penalty!$C$10:$C$12,Penalty!$B$10:$B$12,"&lt;"&amp;A881))</f>
        <v>12000</v>
      </c>
      <c r="D881" s="25" t="n">
        <f aca="false">IF(A881&lt;=Penalty!$B$8,C881+F880+IF(A881&gt;Penalty!$B$19,Penalty!$I$5,0)+G880,0)</f>
        <v>0</v>
      </c>
      <c r="E881" s="26" t="n">
        <f aca="false">D881*B881/365</f>
        <v>0</v>
      </c>
      <c r="F881" s="25" t="n">
        <f aca="false">F880+E881*(1-IF(D881&gt;0,(IF(A881&gt;Penalty!$B$19,Penalty!$I$5,0)+G880)/D881,0))</f>
        <v>345.789278153858</v>
      </c>
      <c r="G881" s="25" t="n">
        <f aca="false">G880+E881*IF(D881&gt;0,(IF(A881&gt;Penalty!$B$19,Penalty!$I$5,0)+G880)/D881,0)</f>
        <v>46.6815525507708</v>
      </c>
    </row>
    <row r="882" customFormat="false" ht="15" hidden="false" customHeight="false" outlineLevel="0" collapsed="false">
      <c r="A882" s="23" t="n">
        <f aca="false">Penalty!$B$5+878</f>
        <v>47005</v>
      </c>
      <c r="B882" s="24" t="n">
        <f aca="false">IF(YEAR(A882)&gt;2026,Penalty!$B$16/100,IFERROR(INDEX(Rates!$B$4:$E$15,MATCH(YEAR(A882),Rates!$A$4:$A$15,0),ROUNDUP(MONTH(A882)/3,0))/100,0.03))</f>
        <v>0.07</v>
      </c>
      <c r="C882" s="25" t="n">
        <f aca="false">MAX(0,Penalty!$B$4-SUMIFS(Penalty!$C$10:$C$12,Penalty!$B$10:$B$12,"&lt;"&amp;A882))</f>
        <v>12000</v>
      </c>
      <c r="D882" s="25" t="n">
        <f aca="false">IF(A882&lt;=Penalty!$B$8,C882+F881+IF(A882&gt;Penalty!$B$19,Penalty!$I$5,0)+G881,0)</f>
        <v>0</v>
      </c>
      <c r="E882" s="26" t="n">
        <f aca="false">D882*B882/365</f>
        <v>0</v>
      </c>
      <c r="F882" s="25" t="n">
        <f aca="false">F881+E882*(1-IF(D882&gt;0,(IF(A882&gt;Penalty!$B$19,Penalty!$I$5,0)+G881)/D882,0))</f>
        <v>345.789278153858</v>
      </c>
      <c r="G882" s="25" t="n">
        <f aca="false">G881+E882*IF(D882&gt;0,(IF(A882&gt;Penalty!$B$19,Penalty!$I$5,0)+G881)/D882,0)</f>
        <v>46.6815525507708</v>
      </c>
    </row>
    <row r="883" customFormat="false" ht="15" hidden="false" customHeight="false" outlineLevel="0" collapsed="false">
      <c r="A883" s="23" t="n">
        <f aca="false">Penalty!$B$5+879</f>
        <v>47006</v>
      </c>
      <c r="B883" s="24" t="n">
        <f aca="false">IF(YEAR(A883)&gt;2026,Penalty!$B$16/100,IFERROR(INDEX(Rates!$B$4:$E$15,MATCH(YEAR(A883),Rates!$A$4:$A$15,0),ROUNDUP(MONTH(A883)/3,0))/100,0.03))</f>
        <v>0.07</v>
      </c>
      <c r="C883" s="25" t="n">
        <f aca="false">MAX(0,Penalty!$B$4-SUMIFS(Penalty!$C$10:$C$12,Penalty!$B$10:$B$12,"&lt;"&amp;A883))</f>
        <v>12000</v>
      </c>
      <c r="D883" s="25" t="n">
        <f aca="false">IF(A883&lt;=Penalty!$B$8,C883+F882+IF(A883&gt;Penalty!$B$19,Penalty!$I$5,0)+G882,0)</f>
        <v>0</v>
      </c>
      <c r="E883" s="26" t="n">
        <f aca="false">D883*B883/365</f>
        <v>0</v>
      </c>
      <c r="F883" s="25" t="n">
        <f aca="false">F882+E883*(1-IF(D883&gt;0,(IF(A883&gt;Penalty!$B$19,Penalty!$I$5,0)+G882)/D883,0))</f>
        <v>345.789278153858</v>
      </c>
      <c r="G883" s="25" t="n">
        <f aca="false">G882+E883*IF(D883&gt;0,(IF(A883&gt;Penalty!$B$19,Penalty!$I$5,0)+G882)/D883,0)</f>
        <v>46.6815525507708</v>
      </c>
    </row>
    <row r="884" customFormat="false" ht="15" hidden="false" customHeight="false" outlineLevel="0" collapsed="false">
      <c r="A884" s="23" t="n">
        <f aca="false">Penalty!$B$5+880</f>
        <v>47007</v>
      </c>
      <c r="B884" s="24" t="n">
        <f aca="false">IF(YEAR(A884)&gt;2026,Penalty!$B$16/100,IFERROR(INDEX(Rates!$B$4:$E$15,MATCH(YEAR(A884),Rates!$A$4:$A$15,0),ROUNDUP(MONTH(A884)/3,0))/100,0.03))</f>
        <v>0.07</v>
      </c>
      <c r="C884" s="25" t="n">
        <f aca="false">MAX(0,Penalty!$B$4-SUMIFS(Penalty!$C$10:$C$12,Penalty!$B$10:$B$12,"&lt;"&amp;A884))</f>
        <v>12000</v>
      </c>
      <c r="D884" s="25" t="n">
        <f aca="false">IF(A884&lt;=Penalty!$B$8,C884+F883+IF(A884&gt;Penalty!$B$19,Penalty!$I$5,0)+G883,0)</f>
        <v>0</v>
      </c>
      <c r="E884" s="26" t="n">
        <f aca="false">D884*B884/365</f>
        <v>0</v>
      </c>
      <c r="F884" s="25" t="n">
        <f aca="false">F883+E884*(1-IF(D884&gt;0,(IF(A884&gt;Penalty!$B$19,Penalty!$I$5,0)+G883)/D884,0))</f>
        <v>345.789278153858</v>
      </c>
      <c r="G884" s="25" t="n">
        <f aca="false">G883+E884*IF(D884&gt;0,(IF(A884&gt;Penalty!$B$19,Penalty!$I$5,0)+G883)/D884,0)</f>
        <v>46.6815525507708</v>
      </c>
    </row>
    <row r="885" customFormat="false" ht="15" hidden="false" customHeight="false" outlineLevel="0" collapsed="false">
      <c r="A885" s="23" t="n">
        <f aca="false">Penalty!$B$5+881</f>
        <v>47008</v>
      </c>
      <c r="B885" s="24" t="n">
        <f aca="false">IF(YEAR(A885)&gt;2026,Penalty!$B$16/100,IFERROR(INDEX(Rates!$B$4:$E$15,MATCH(YEAR(A885),Rates!$A$4:$A$15,0),ROUNDUP(MONTH(A885)/3,0))/100,0.03))</f>
        <v>0.07</v>
      </c>
      <c r="C885" s="25" t="n">
        <f aca="false">MAX(0,Penalty!$B$4-SUMIFS(Penalty!$C$10:$C$12,Penalty!$B$10:$B$12,"&lt;"&amp;A885))</f>
        <v>12000</v>
      </c>
      <c r="D885" s="25" t="n">
        <f aca="false">IF(A885&lt;=Penalty!$B$8,C885+F884+IF(A885&gt;Penalty!$B$19,Penalty!$I$5,0)+G884,0)</f>
        <v>0</v>
      </c>
      <c r="E885" s="26" t="n">
        <f aca="false">D885*B885/365</f>
        <v>0</v>
      </c>
      <c r="F885" s="25" t="n">
        <f aca="false">F884+E885*(1-IF(D885&gt;0,(IF(A885&gt;Penalty!$B$19,Penalty!$I$5,0)+G884)/D885,0))</f>
        <v>345.789278153858</v>
      </c>
      <c r="G885" s="25" t="n">
        <f aca="false">G884+E885*IF(D885&gt;0,(IF(A885&gt;Penalty!$B$19,Penalty!$I$5,0)+G884)/D885,0)</f>
        <v>46.6815525507708</v>
      </c>
    </row>
    <row r="886" customFormat="false" ht="15" hidden="false" customHeight="false" outlineLevel="0" collapsed="false">
      <c r="A886" s="23" t="n">
        <f aca="false">Penalty!$B$5+882</f>
        <v>47009</v>
      </c>
      <c r="B886" s="24" t="n">
        <f aca="false">IF(YEAR(A886)&gt;2026,Penalty!$B$16/100,IFERROR(INDEX(Rates!$B$4:$E$15,MATCH(YEAR(A886),Rates!$A$4:$A$15,0),ROUNDUP(MONTH(A886)/3,0))/100,0.03))</f>
        <v>0.07</v>
      </c>
      <c r="C886" s="25" t="n">
        <f aca="false">MAX(0,Penalty!$B$4-SUMIFS(Penalty!$C$10:$C$12,Penalty!$B$10:$B$12,"&lt;"&amp;A886))</f>
        <v>12000</v>
      </c>
      <c r="D886" s="25" t="n">
        <f aca="false">IF(A886&lt;=Penalty!$B$8,C886+F885+IF(A886&gt;Penalty!$B$19,Penalty!$I$5,0)+G885,0)</f>
        <v>0</v>
      </c>
      <c r="E886" s="26" t="n">
        <f aca="false">D886*B886/365</f>
        <v>0</v>
      </c>
      <c r="F886" s="25" t="n">
        <f aca="false">F885+E886*(1-IF(D886&gt;0,(IF(A886&gt;Penalty!$B$19,Penalty!$I$5,0)+G885)/D886,0))</f>
        <v>345.789278153858</v>
      </c>
      <c r="G886" s="25" t="n">
        <f aca="false">G885+E886*IF(D886&gt;0,(IF(A886&gt;Penalty!$B$19,Penalty!$I$5,0)+G885)/D886,0)</f>
        <v>46.6815525507708</v>
      </c>
    </row>
    <row r="887" customFormat="false" ht="15" hidden="false" customHeight="false" outlineLevel="0" collapsed="false">
      <c r="A887" s="23" t="n">
        <f aca="false">Penalty!$B$5+883</f>
        <v>47010</v>
      </c>
      <c r="B887" s="24" t="n">
        <f aca="false">IF(YEAR(A887)&gt;2026,Penalty!$B$16/100,IFERROR(INDEX(Rates!$B$4:$E$15,MATCH(YEAR(A887),Rates!$A$4:$A$15,0),ROUNDUP(MONTH(A887)/3,0))/100,0.03))</f>
        <v>0.07</v>
      </c>
      <c r="C887" s="25" t="n">
        <f aca="false">MAX(0,Penalty!$B$4-SUMIFS(Penalty!$C$10:$C$12,Penalty!$B$10:$B$12,"&lt;"&amp;A887))</f>
        <v>12000</v>
      </c>
      <c r="D887" s="25" t="n">
        <f aca="false">IF(A887&lt;=Penalty!$B$8,C887+F886+IF(A887&gt;Penalty!$B$19,Penalty!$I$5,0)+G886,0)</f>
        <v>0</v>
      </c>
      <c r="E887" s="26" t="n">
        <f aca="false">D887*B887/365</f>
        <v>0</v>
      </c>
      <c r="F887" s="25" t="n">
        <f aca="false">F886+E887*(1-IF(D887&gt;0,(IF(A887&gt;Penalty!$B$19,Penalty!$I$5,0)+G886)/D887,0))</f>
        <v>345.789278153858</v>
      </c>
      <c r="G887" s="25" t="n">
        <f aca="false">G886+E887*IF(D887&gt;0,(IF(A887&gt;Penalty!$B$19,Penalty!$I$5,0)+G886)/D887,0)</f>
        <v>46.6815525507708</v>
      </c>
    </row>
    <row r="888" customFormat="false" ht="15" hidden="false" customHeight="false" outlineLevel="0" collapsed="false">
      <c r="A888" s="23" t="n">
        <f aca="false">Penalty!$B$5+884</f>
        <v>47011</v>
      </c>
      <c r="B888" s="24" t="n">
        <f aca="false">IF(YEAR(A888)&gt;2026,Penalty!$B$16/100,IFERROR(INDEX(Rates!$B$4:$E$15,MATCH(YEAR(A888),Rates!$A$4:$A$15,0),ROUNDUP(MONTH(A888)/3,0))/100,0.03))</f>
        <v>0.07</v>
      </c>
      <c r="C888" s="25" t="n">
        <f aca="false">MAX(0,Penalty!$B$4-SUMIFS(Penalty!$C$10:$C$12,Penalty!$B$10:$B$12,"&lt;"&amp;A888))</f>
        <v>12000</v>
      </c>
      <c r="D888" s="25" t="n">
        <f aca="false">IF(A888&lt;=Penalty!$B$8,C888+F887+IF(A888&gt;Penalty!$B$19,Penalty!$I$5,0)+G887,0)</f>
        <v>0</v>
      </c>
      <c r="E888" s="26" t="n">
        <f aca="false">D888*B888/365</f>
        <v>0</v>
      </c>
      <c r="F888" s="25" t="n">
        <f aca="false">F887+E888*(1-IF(D888&gt;0,(IF(A888&gt;Penalty!$B$19,Penalty!$I$5,0)+G887)/D888,0))</f>
        <v>345.789278153858</v>
      </c>
      <c r="G888" s="25" t="n">
        <f aca="false">G887+E888*IF(D888&gt;0,(IF(A888&gt;Penalty!$B$19,Penalty!$I$5,0)+G887)/D888,0)</f>
        <v>46.6815525507708</v>
      </c>
    </row>
    <row r="889" customFormat="false" ht="15" hidden="false" customHeight="false" outlineLevel="0" collapsed="false">
      <c r="A889" s="23" t="n">
        <f aca="false">Penalty!$B$5+885</f>
        <v>47012</v>
      </c>
      <c r="B889" s="24" t="n">
        <f aca="false">IF(YEAR(A889)&gt;2026,Penalty!$B$16/100,IFERROR(INDEX(Rates!$B$4:$E$15,MATCH(YEAR(A889),Rates!$A$4:$A$15,0),ROUNDUP(MONTH(A889)/3,0))/100,0.03))</f>
        <v>0.07</v>
      </c>
      <c r="C889" s="25" t="n">
        <f aca="false">MAX(0,Penalty!$B$4-SUMIFS(Penalty!$C$10:$C$12,Penalty!$B$10:$B$12,"&lt;"&amp;A889))</f>
        <v>12000</v>
      </c>
      <c r="D889" s="25" t="n">
        <f aca="false">IF(A889&lt;=Penalty!$B$8,C889+F888+IF(A889&gt;Penalty!$B$19,Penalty!$I$5,0)+G888,0)</f>
        <v>0</v>
      </c>
      <c r="E889" s="26" t="n">
        <f aca="false">D889*B889/365</f>
        <v>0</v>
      </c>
      <c r="F889" s="25" t="n">
        <f aca="false">F888+E889*(1-IF(D889&gt;0,(IF(A889&gt;Penalty!$B$19,Penalty!$I$5,0)+G888)/D889,0))</f>
        <v>345.789278153858</v>
      </c>
      <c r="G889" s="25" t="n">
        <f aca="false">G888+E889*IF(D889&gt;0,(IF(A889&gt;Penalty!$B$19,Penalty!$I$5,0)+G888)/D889,0)</f>
        <v>46.6815525507708</v>
      </c>
    </row>
    <row r="890" customFormat="false" ht="15" hidden="false" customHeight="false" outlineLevel="0" collapsed="false">
      <c r="A890" s="23" t="n">
        <f aca="false">Penalty!$B$5+886</f>
        <v>47013</v>
      </c>
      <c r="B890" s="24" t="n">
        <f aca="false">IF(YEAR(A890)&gt;2026,Penalty!$B$16/100,IFERROR(INDEX(Rates!$B$4:$E$15,MATCH(YEAR(A890),Rates!$A$4:$A$15,0),ROUNDUP(MONTH(A890)/3,0))/100,0.03))</f>
        <v>0.07</v>
      </c>
      <c r="C890" s="25" t="n">
        <f aca="false">MAX(0,Penalty!$B$4-SUMIFS(Penalty!$C$10:$C$12,Penalty!$B$10:$B$12,"&lt;"&amp;A890))</f>
        <v>12000</v>
      </c>
      <c r="D890" s="25" t="n">
        <f aca="false">IF(A890&lt;=Penalty!$B$8,C890+F889+IF(A890&gt;Penalty!$B$19,Penalty!$I$5,0)+G889,0)</f>
        <v>0</v>
      </c>
      <c r="E890" s="26" t="n">
        <f aca="false">D890*B890/365</f>
        <v>0</v>
      </c>
      <c r="F890" s="25" t="n">
        <f aca="false">F889+E890*(1-IF(D890&gt;0,(IF(A890&gt;Penalty!$B$19,Penalty!$I$5,0)+G889)/D890,0))</f>
        <v>345.789278153858</v>
      </c>
      <c r="G890" s="25" t="n">
        <f aca="false">G889+E890*IF(D890&gt;0,(IF(A890&gt;Penalty!$B$19,Penalty!$I$5,0)+G889)/D890,0)</f>
        <v>46.6815525507708</v>
      </c>
    </row>
    <row r="891" customFormat="false" ht="15" hidden="false" customHeight="false" outlineLevel="0" collapsed="false">
      <c r="A891" s="23" t="n">
        <f aca="false">Penalty!$B$5+887</f>
        <v>47014</v>
      </c>
      <c r="B891" s="24" t="n">
        <f aca="false">IF(YEAR(A891)&gt;2026,Penalty!$B$16/100,IFERROR(INDEX(Rates!$B$4:$E$15,MATCH(YEAR(A891),Rates!$A$4:$A$15,0),ROUNDUP(MONTH(A891)/3,0))/100,0.03))</f>
        <v>0.07</v>
      </c>
      <c r="C891" s="25" t="n">
        <f aca="false">MAX(0,Penalty!$B$4-SUMIFS(Penalty!$C$10:$C$12,Penalty!$B$10:$B$12,"&lt;"&amp;A891))</f>
        <v>12000</v>
      </c>
      <c r="D891" s="25" t="n">
        <f aca="false">IF(A891&lt;=Penalty!$B$8,C891+F890+IF(A891&gt;Penalty!$B$19,Penalty!$I$5,0)+G890,0)</f>
        <v>0</v>
      </c>
      <c r="E891" s="26" t="n">
        <f aca="false">D891*B891/365</f>
        <v>0</v>
      </c>
      <c r="F891" s="25" t="n">
        <f aca="false">F890+E891*(1-IF(D891&gt;0,(IF(A891&gt;Penalty!$B$19,Penalty!$I$5,0)+G890)/D891,0))</f>
        <v>345.789278153858</v>
      </c>
      <c r="G891" s="25" t="n">
        <f aca="false">G890+E891*IF(D891&gt;0,(IF(A891&gt;Penalty!$B$19,Penalty!$I$5,0)+G890)/D891,0)</f>
        <v>46.6815525507708</v>
      </c>
    </row>
    <row r="892" customFormat="false" ht="15" hidden="false" customHeight="false" outlineLevel="0" collapsed="false">
      <c r="A892" s="23" t="n">
        <f aca="false">Penalty!$B$5+888</f>
        <v>47015</v>
      </c>
      <c r="B892" s="24" t="n">
        <f aca="false">IF(YEAR(A892)&gt;2026,Penalty!$B$16/100,IFERROR(INDEX(Rates!$B$4:$E$15,MATCH(YEAR(A892),Rates!$A$4:$A$15,0),ROUNDUP(MONTH(A892)/3,0))/100,0.03))</f>
        <v>0.07</v>
      </c>
      <c r="C892" s="25" t="n">
        <f aca="false">MAX(0,Penalty!$B$4-SUMIFS(Penalty!$C$10:$C$12,Penalty!$B$10:$B$12,"&lt;"&amp;A892))</f>
        <v>12000</v>
      </c>
      <c r="D892" s="25" t="n">
        <f aca="false">IF(A892&lt;=Penalty!$B$8,C892+F891+IF(A892&gt;Penalty!$B$19,Penalty!$I$5,0)+G891,0)</f>
        <v>0</v>
      </c>
      <c r="E892" s="26" t="n">
        <f aca="false">D892*B892/365</f>
        <v>0</v>
      </c>
      <c r="F892" s="25" t="n">
        <f aca="false">F891+E892*(1-IF(D892&gt;0,(IF(A892&gt;Penalty!$B$19,Penalty!$I$5,0)+G891)/D892,0))</f>
        <v>345.789278153858</v>
      </c>
      <c r="G892" s="25" t="n">
        <f aca="false">G891+E892*IF(D892&gt;0,(IF(A892&gt;Penalty!$B$19,Penalty!$I$5,0)+G891)/D892,0)</f>
        <v>46.6815525507708</v>
      </c>
    </row>
    <row r="893" customFormat="false" ht="15" hidden="false" customHeight="false" outlineLevel="0" collapsed="false">
      <c r="A893" s="23" t="n">
        <f aca="false">Penalty!$B$5+889</f>
        <v>47016</v>
      </c>
      <c r="B893" s="24" t="n">
        <f aca="false">IF(YEAR(A893)&gt;2026,Penalty!$B$16/100,IFERROR(INDEX(Rates!$B$4:$E$15,MATCH(YEAR(A893),Rates!$A$4:$A$15,0),ROUNDUP(MONTH(A893)/3,0))/100,0.03))</f>
        <v>0.07</v>
      </c>
      <c r="C893" s="25" t="n">
        <f aca="false">MAX(0,Penalty!$B$4-SUMIFS(Penalty!$C$10:$C$12,Penalty!$B$10:$B$12,"&lt;"&amp;A893))</f>
        <v>12000</v>
      </c>
      <c r="D893" s="25" t="n">
        <f aca="false">IF(A893&lt;=Penalty!$B$8,C893+F892+IF(A893&gt;Penalty!$B$19,Penalty!$I$5,0)+G892,0)</f>
        <v>0</v>
      </c>
      <c r="E893" s="26" t="n">
        <f aca="false">D893*B893/365</f>
        <v>0</v>
      </c>
      <c r="F893" s="25" t="n">
        <f aca="false">F892+E893*(1-IF(D893&gt;0,(IF(A893&gt;Penalty!$B$19,Penalty!$I$5,0)+G892)/D893,0))</f>
        <v>345.789278153858</v>
      </c>
      <c r="G893" s="25" t="n">
        <f aca="false">G892+E893*IF(D893&gt;0,(IF(A893&gt;Penalty!$B$19,Penalty!$I$5,0)+G892)/D893,0)</f>
        <v>46.6815525507708</v>
      </c>
    </row>
    <row r="894" customFormat="false" ht="15" hidden="false" customHeight="false" outlineLevel="0" collapsed="false">
      <c r="A894" s="23" t="n">
        <f aca="false">Penalty!$B$5+890</f>
        <v>47017</v>
      </c>
      <c r="B894" s="24" t="n">
        <f aca="false">IF(YEAR(A894)&gt;2026,Penalty!$B$16/100,IFERROR(INDEX(Rates!$B$4:$E$15,MATCH(YEAR(A894),Rates!$A$4:$A$15,0),ROUNDUP(MONTH(A894)/3,0))/100,0.03))</f>
        <v>0.07</v>
      </c>
      <c r="C894" s="25" t="n">
        <f aca="false">MAX(0,Penalty!$B$4-SUMIFS(Penalty!$C$10:$C$12,Penalty!$B$10:$B$12,"&lt;"&amp;A894))</f>
        <v>12000</v>
      </c>
      <c r="D894" s="25" t="n">
        <f aca="false">IF(A894&lt;=Penalty!$B$8,C894+F893+IF(A894&gt;Penalty!$B$19,Penalty!$I$5,0)+G893,0)</f>
        <v>0</v>
      </c>
      <c r="E894" s="26" t="n">
        <f aca="false">D894*B894/365</f>
        <v>0</v>
      </c>
      <c r="F894" s="25" t="n">
        <f aca="false">F893+E894*(1-IF(D894&gt;0,(IF(A894&gt;Penalty!$B$19,Penalty!$I$5,0)+G893)/D894,0))</f>
        <v>345.789278153858</v>
      </c>
      <c r="G894" s="25" t="n">
        <f aca="false">G893+E894*IF(D894&gt;0,(IF(A894&gt;Penalty!$B$19,Penalty!$I$5,0)+G893)/D894,0)</f>
        <v>46.6815525507708</v>
      </c>
    </row>
    <row r="895" customFormat="false" ht="15" hidden="false" customHeight="false" outlineLevel="0" collapsed="false">
      <c r="A895" s="23" t="n">
        <f aca="false">Penalty!$B$5+891</f>
        <v>47018</v>
      </c>
      <c r="B895" s="24" t="n">
        <f aca="false">IF(YEAR(A895)&gt;2026,Penalty!$B$16/100,IFERROR(INDEX(Rates!$B$4:$E$15,MATCH(YEAR(A895),Rates!$A$4:$A$15,0),ROUNDUP(MONTH(A895)/3,0))/100,0.03))</f>
        <v>0.07</v>
      </c>
      <c r="C895" s="25" t="n">
        <f aca="false">MAX(0,Penalty!$B$4-SUMIFS(Penalty!$C$10:$C$12,Penalty!$B$10:$B$12,"&lt;"&amp;A895))</f>
        <v>12000</v>
      </c>
      <c r="D895" s="25" t="n">
        <f aca="false">IF(A895&lt;=Penalty!$B$8,C895+F894+IF(A895&gt;Penalty!$B$19,Penalty!$I$5,0)+G894,0)</f>
        <v>0</v>
      </c>
      <c r="E895" s="26" t="n">
        <f aca="false">D895*B895/365</f>
        <v>0</v>
      </c>
      <c r="F895" s="25" t="n">
        <f aca="false">F894+E895*(1-IF(D895&gt;0,(IF(A895&gt;Penalty!$B$19,Penalty!$I$5,0)+G894)/D895,0))</f>
        <v>345.789278153858</v>
      </c>
      <c r="G895" s="25" t="n">
        <f aca="false">G894+E895*IF(D895&gt;0,(IF(A895&gt;Penalty!$B$19,Penalty!$I$5,0)+G894)/D895,0)</f>
        <v>46.6815525507708</v>
      </c>
    </row>
    <row r="896" customFormat="false" ht="15" hidden="false" customHeight="false" outlineLevel="0" collapsed="false">
      <c r="A896" s="23" t="n">
        <f aca="false">Penalty!$B$5+892</f>
        <v>47019</v>
      </c>
      <c r="B896" s="24" t="n">
        <f aca="false">IF(YEAR(A896)&gt;2026,Penalty!$B$16/100,IFERROR(INDEX(Rates!$B$4:$E$15,MATCH(YEAR(A896),Rates!$A$4:$A$15,0),ROUNDUP(MONTH(A896)/3,0))/100,0.03))</f>
        <v>0.07</v>
      </c>
      <c r="C896" s="25" t="n">
        <f aca="false">MAX(0,Penalty!$B$4-SUMIFS(Penalty!$C$10:$C$12,Penalty!$B$10:$B$12,"&lt;"&amp;A896))</f>
        <v>12000</v>
      </c>
      <c r="D896" s="25" t="n">
        <f aca="false">IF(A896&lt;=Penalty!$B$8,C896+F895+IF(A896&gt;Penalty!$B$19,Penalty!$I$5,0)+G895,0)</f>
        <v>0</v>
      </c>
      <c r="E896" s="26" t="n">
        <f aca="false">D896*B896/365</f>
        <v>0</v>
      </c>
      <c r="F896" s="25" t="n">
        <f aca="false">F895+E896*(1-IF(D896&gt;0,(IF(A896&gt;Penalty!$B$19,Penalty!$I$5,0)+G895)/D896,0))</f>
        <v>345.789278153858</v>
      </c>
      <c r="G896" s="25" t="n">
        <f aca="false">G895+E896*IF(D896&gt;0,(IF(A896&gt;Penalty!$B$19,Penalty!$I$5,0)+G895)/D896,0)</f>
        <v>46.6815525507708</v>
      </c>
    </row>
    <row r="897" customFormat="false" ht="15" hidden="false" customHeight="false" outlineLevel="0" collapsed="false">
      <c r="A897" s="23" t="n">
        <f aca="false">Penalty!$B$5+893</f>
        <v>47020</v>
      </c>
      <c r="B897" s="24" t="n">
        <f aca="false">IF(YEAR(A897)&gt;2026,Penalty!$B$16/100,IFERROR(INDEX(Rates!$B$4:$E$15,MATCH(YEAR(A897),Rates!$A$4:$A$15,0),ROUNDUP(MONTH(A897)/3,0))/100,0.03))</f>
        <v>0.07</v>
      </c>
      <c r="C897" s="25" t="n">
        <f aca="false">MAX(0,Penalty!$B$4-SUMIFS(Penalty!$C$10:$C$12,Penalty!$B$10:$B$12,"&lt;"&amp;A897))</f>
        <v>12000</v>
      </c>
      <c r="D897" s="25" t="n">
        <f aca="false">IF(A897&lt;=Penalty!$B$8,C897+F896+IF(A897&gt;Penalty!$B$19,Penalty!$I$5,0)+G896,0)</f>
        <v>0</v>
      </c>
      <c r="E897" s="26" t="n">
        <f aca="false">D897*B897/365</f>
        <v>0</v>
      </c>
      <c r="F897" s="25" t="n">
        <f aca="false">F896+E897*(1-IF(D897&gt;0,(IF(A897&gt;Penalty!$B$19,Penalty!$I$5,0)+G896)/D897,0))</f>
        <v>345.789278153858</v>
      </c>
      <c r="G897" s="25" t="n">
        <f aca="false">G896+E897*IF(D897&gt;0,(IF(A897&gt;Penalty!$B$19,Penalty!$I$5,0)+G896)/D897,0)</f>
        <v>46.6815525507708</v>
      </c>
    </row>
    <row r="898" customFormat="false" ht="15" hidden="false" customHeight="false" outlineLevel="0" collapsed="false">
      <c r="A898" s="23" t="n">
        <f aca="false">Penalty!$B$5+894</f>
        <v>47021</v>
      </c>
      <c r="B898" s="24" t="n">
        <f aca="false">IF(YEAR(A898)&gt;2026,Penalty!$B$16/100,IFERROR(INDEX(Rates!$B$4:$E$15,MATCH(YEAR(A898),Rates!$A$4:$A$15,0),ROUNDUP(MONTH(A898)/3,0))/100,0.03))</f>
        <v>0.07</v>
      </c>
      <c r="C898" s="25" t="n">
        <f aca="false">MAX(0,Penalty!$B$4-SUMIFS(Penalty!$C$10:$C$12,Penalty!$B$10:$B$12,"&lt;"&amp;A898))</f>
        <v>12000</v>
      </c>
      <c r="D898" s="25" t="n">
        <f aca="false">IF(A898&lt;=Penalty!$B$8,C898+F897+IF(A898&gt;Penalty!$B$19,Penalty!$I$5,0)+G897,0)</f>
        <v>0</v>
      </c>
      <c r="E898" s="26" t="n">
        <f aca="false">D898*B898/365</f>
        <v>0</v>
      </c>
      <c r="F898" s="25" t="n">
        <f aca="false">F897+E898*(1-IF(D898&gt;0,(IF(A898&gt;Penalty!$B$19,Penalty!$I$5,0)+G897)/D898,0))</f>
        <v>345.789278153858</v>
      </c>
      <c r="G898" s="25" t="n">
        <f aca="false">G897+E898*IF(D898&gt;0,(IF(A898&gt;Penalty!$B$19,Penalty!$I$5,0)+G897)/D898,0)</f>
        <v>46.6815525507708</v>
      </c>
    </row>
    <row r="899" customFormat="false" ht="15" hidden="false" customHeight="false" outlineLevel="0" collapsed="false">
      <c r="A899" s="23" t="n">
        <f aca="false">Penalty!$B$5+895</f>
        <v>47022</v>
      </c>
      <c r="B899" s="24" t="n">
        <f aca="false">IF(YEAR(A899)&gt;2026,Penalty!$B$16/100,IFERROR(INDEX(Rates!$B$4:$E$15,MATCH(YEAR(A899),Rates!$A$4:$A$15,0),ROUNDUP(MONTH(A899)/3,0))/100,0.03))</f>
        <v>0.07</v>
      </c>
      <c r="C899" s="25" t="n">
        <f aca="false">MAX(0,Penalty!$B$4-SUMIFS(Penalty!$C$10:$C$12,Penalty!$B$10:$B$12,"&lt;"&amp;A899))</f>
        <v>12000</v>
      </c>
      <c r="D899" s="25" t="n">
        <f aca="false">IF(A899&lt;=Penalty!$B$8,C899+F898+IF(A899&gt;Penalty!$B$19,Penalty!$I$5,0)+G898,0)</f>
        <v>0</v>
      </c>
      <c r="E899" s="26" t="n">
        <f aca="false">D899*B899/365</f>
        <v>0</v>
      </c>
      <c r="F899" s="25" t="n">
        <f aca="false">F898+E899*(1-IF(D899&gt;0,(IF(A899&gt;Penalty!$B$19,Penalty!$I$5,0)+G898)/D899,0))</f>
        <v>345.789278153858</v>
      </c>
      <c r="G899" s="25" t="n">
        <f aca="false">G898+E899*IF(D899&gt;0,(IF(A899&gt;Penalty!$B$19,Penalty!$I$5,0)+G898)/D899,0)</f>
        <v>46.6815525507708</v>
      </c>
    </row>
    <row r="900" customFormat="false" ht="15" hidden="false" customHeight="false" outlineLevel="0" collapsed="false">
      <c r="A900" s="23" t="n">
        <f aca="false">Penalty!$B$5+896</f>
        <v>47023</v>
      </c>
      <c r="B900" s="24" t="n">
        <f aca="false">IF(YEAR(A900)&gt;2026,Penalty!$B$16/100,IFERROR(INDEX(Rates!$B$4:$E$15,MATCH(YEAR(A900),Rates!$A$4:$A$15,0),ROUNDUP(MONTH(A900)/3,0))/100,0.03))</f>
        <v>0.07</v>
      </c>
      <c r="C900" s="25" t="n">
        <f aca="false">MAX(0,Penalty!$B$4-SUMIFS(Penalty!$C$10:$C$12,Penalty!$B$10:$B$12,"&lt;"&amp;A900))</f>
        <v>12000</v>
      </c>
      <c r="D900" s="25" t="n">
        <f aca="false">IF(A900&lt;=Penalty!$B$8,C900+F899+IF(A900&gt;Penalty!$B$19,Penalty!$I$5,0)+G899,0)</f>
        <v>0</v>
      </c>
      <c r="E900" s="26" t="n">
        <f aca="false">D900*B900/365</f>
        <v>0</v>
      </c>
      <c r="F900" s="25" t="n">
        <f aca="false">F899+E900*(1-IF(D900&gt;0,(IF(A900&gt;Penalty!$B$19,Penalty!$I$5,0)+G899)/D900,0))</f>
        <v>345.789278153858</v>
      </c>
      <c r="G900" s="25" t="n">
        <f aca="false">G899+E900*IF(D900&gt;0,(IF(A900&gt;Penalty!$B$19,Penalty!$I$5,0)+G899)/D900,0)</f>
        <v>46.6815525507708</v>
      </c>
    </row>
    <row r="901" customFormat="false" ht="15" hidden="false" customHeight="false" outlineLevel="0" collapsed="false">
      <c r="A901" s="23" t="n">
        <f aca="false">Penalty!$B$5+897</f>
        <v>47024</v>
      </c>
      <c r="B901" s="24" t="n">
        <f aca="false">IF(YEAR(A901)&gt;2026,Penalty!$B$16/100,IFERROR(INDEX(Rates!$B$4:$E$15,MATCH(YEAR(A901),Rates!$A$4:$A$15,0),ROUNDUP(MONTH(A901)/3,0))/100,0.03))</f>
        <v>0.07</v>
      </c>
      <c r="C901" s="25" t="n">
        <f aca="false">MAX(0,Penalty!$B$4-SUMIFS(Penalty!$C$10:$C$12,Penalty!$B$10:$B$12,"&lt;"&amp;A901))</f>
        <v>12000</v>
      </c>
      <c r="D901" s="25" t="n">
        <f aca="false">IF(A901&lt;=Penalty!$B$8,C901+F900+IF(A901&gt;Penalty!$B$19,Penalty!$I$5,0)+G900,0)</f>
        <v>0</v>
      </c>
      <c r="E901" s="26" t="n">
        <f aca="false">D901*B901/365</f>
        <v>0</v>
      </c>
      <c r="F901" s="25" t="n">
        <f aca="false">F900+E901*(1-IF(D901&gt;0,(IF(A901&gt;Penalty!$B$19,Penalty!$I$5,0)+G900)/D901,0))</f>
        <v>345.789278153858</v>
      </c>
      <c r="G901" s="25" t="n">
        <f aca="false">G900+E901*IF(D901&gt;0,(IF(A901&gt;Penalty!$B$19,Penalty!$I$5,0)+G900)/D901,0)</f>
        <v>46.6815525507708</v>
      </c>
    </row>
    <row r="902" customFormat="false" ht="15" hidden="false" customHeight="false" outlineLevel="0" collapsed="false">
      <c r="A902" s="23" t="n">
        <f aca="false">Penalty!$B$5+898</f>
        <v>47025</v>
      </c>
      <c r="B902" s="24" t="n">
        <f aca="false">IF(YEAR(A902)&gt;2026,Penalty!$B$16/100,IFERROR(INDEX(Rates!$B$4:$E$15,MATCH(YEAR(A902),Rates!$A$4:$A$15,0),ROUNDUP(MONTH(A902)/3,0))/100,0.03))</f>
        <v>0.07</v>
      </c>
      <c r="C902" s="25" t="n">
        <f aca="false">MAX(0,Penalty!$B$4-SUMIFS(Penalty!$C$10:$C$12,Penalty!$B$10:$B$12,"&lt;"&amp;A902))</f>
        <v>12000</v>
      </c>
      <c r="D902" s="25" t="n">
        <f aca="false">IF(A902&lt;=Penalty!$B$8,C902+F901+IF(A902&gt;Penalty!$B$19,Penalty!$I$5,0)+G901,0)</f>
        <v>0</v>
      </c>
      <c r="E902" s="26" t="n">
        <f aca="false">D902*B902/365</f>
        <v>0</v>
      </c>
      <c r="F902" s="25" t="n">
        <f aca="false">F901+E902*(1-IF(D902&gt;0,(IF(A902&gt;Penalty!$B$19,Penalty!$I$5,0)+G901)/D902,0))</f>
        <v>345.789278153858</v>
      </c>
      <c r="G902" s="25" t="n">
        <f aca="false">G901+E902*IF(D902&gt;0,(IF(A902&gt;Penalty!$B$19,Penalty!$I$5,0)+G901)/D902,0)</f>
        <v>46.6815525507708</v>
      </c>
    </row>
    <row r="903" customFormat="false" ht="15" hidden="false" customHeight="false" outlineLevel="0" collapsed="false">
      <c r="A903" s="23" t="n">
        <f aca="false">Penalty!$B$5+899</f>
        <v>47026</v>
      </c>
      <c r="B903" s="24" t="n">
        <f aca="false">IF(YEAR(A903)&gt;2026,Penalty!$B$16/100,IFERROR(INDEX(Rates!$B$4:$E$15,MATCH(YEAR(A903),Rates!$A$4:$A$15,0),ROUNDUP(MONTH(A903)/3,0))/100,0.03))</f>
        <v>0.07</v>
      </c>
      <c r="C903" s="25" t="n">
        <f aca="false">MAX(0,Penalty!$B$4-SUMIFS(Penalty!$C$10:$C$12,Penalty!$B$10:$B$12,"&lt;"&amp;A903))</f>
        <v>12000</v>
      </c>
      <c r="D903" s="25" t="n">
        <f aca="false">IF(A903&lt;=Penalty!$B$8,C903+F902+IF(A903&gt;Penalty!$B$19,Penalty!$I$5,0)+G902,0)</f>
        <v>0</v>
      </c>
      <c r="E903" s="26" t="n">
        <f aca="false">D903*B903/365</f>
        <v>0</v>
      </c>
      <c r="F903" s="25" t="n">
        <f aca="false">F902+E903*(1-IF(D903&gt;0,(IF(A903&gt;Penalty!$B$19,Penalty!$I$5,0)+G902)/D903,0))</f>
        <v>345.789278153858</v>
      </c>
      <c r="G903" s="25" t="n">
        <f aca="false">G902+E903*IF(D903&gt;0,(IF(A903&gt;Penalty!$B$19,Penalty!$I$5,0)+G902)/D903,0)</f>
        <v>46.6815525507708</v>
      </c>
    </row>
    <row r="904" customFormat="false" ht="15" hidden="false" customHeight="false" outlineLevel="0" collapsed="false">
      <c r="A904" s="23" t="n">
        <f aca="false">Penalty!$B$5+900</f>
        <v>47027</v>
      </c>
      <c r="B904" s="24" t="n">
        <f aca="false">IF(YEAR(A904)&gt;2026,Penalty!$B$16/100,IFERROR(INDEX(Rates!$B$4:$E$15,MATCH(YEAR(A904),Rates!$A$4:$A$15,0),ROUNDUP(MONTH(A904)/3,0))/100,0.03))</f>
        <v>0.07</v>
      </c>
      <c r="C904" s="25" t="n">
        <f aca="false">MAX(0,Penalty!$B$4-SUMIFS(Penalty!$C$10:$C$12,Penalty!$B$10:$B$12,"&lt;"&amp;A904))</f>
        <v>12000</v>
      </c>
      <c r="D904" s="25" t="n">
        <f aca="false">IF(A904&lt;=Penalty!$B$8,C904+F903+IF(A904&gt;Penalty!$B$19,Penalty!$I$5,0)+G903,0)</f>
        <v>0</v>
      </c>
      <c r="E904" s="26" t="n">
        <f aca="false">D904*B904/365</f>
        <v>0</v>
      </c>
      <c r="F904" s="25" t="n">
        <f aca="false">F903+E904*(1-IF(D904&gt;0,(IF(A904&gt;Penalty!$B$19,Penalty!$I$5,0)+G903)/D904,0))</f>
        <v>345.789278153858</v>
      </c>
      <c r="G904" s="25" t="n">
        <f aca="false">G903+E904*IF(D904&gt;0,(IF(A904&gt;Penalty!$B$19,Penalty!$I$5,0)+G903)/D904,0)</f>
        <v>46.6815525507708</v>
      </c>
    </row>
    <row r="905" customFormat="false" ht="15" hidden="false" customHeight="false" outlineLevel="0" collapsed="false">
      <c r="A905" s="23" t="n">
        <f aca="false">Penalty!$B$5+901</f>
        <v>47028</v>
      </c>
      <c r="B905" s="24" t="n">
        <f aca="false">IF(YEAR(A905)&gt;2026,Penalty!$B$16/100,IFERROR(INDEX(Rates!$B$4:$E$15,MATCH(YEAR(A905),Rates!$A$4:$A$15,0),ROUNDUP(MONTH(A905)/3,0))/100,0.03))</f>
        <v>0.07</v>
      </c>
      <c r="C905" s="25" t="n">
        <f aca="false">MAX(0,Penalty!$B$4-SUMIFS(Penalty!$C$10:$C$12,Penalty!$B$10:$B$12,"&lt;"&amp;A905))</f>
        <v>12000</v>
      </c>
      <c r="D905" s="25" t="n">
        <f aca="false">IF(A905&lt;=Penalty!$B$8,C905+F904+IF(A905&gt;Penalty!$B$19,Penalty!$I$5,0)+G904,0)</f>
        <v>0</v>
      </c>
      <c r="E905" s="26" t="n">
        <f aca="false">D905*B905/365</f>
        <v>0</v>
      </c>
      <c r="F905" s="25" t="n">
        <f aca="false">F904+E905*(1-IF(D905&gt;0,(IF(A905&gt;Penalty!$B$19,Penalty!$I$5,0)+G904)/D905,0))</f>
        <v>345.789278153858</v>
      </c>
      <c r="G905" s="25" t="n">
        <f aca="false">G904+E905*IF(D905&gt;0,(IF(A905&gt;Penalty!$B$19,Penalty!$I$5,0)+G904)/D905,0)</f>
        <v>46.6815525507708</v>
      </c>
    </row>
    <row r="906" customFormat="false" ht="15" hidden="false" customHeight="false" outlineLevel="0" collapsed="false">
      <c r="A906" s="23" t="n">
        <f aca="false">Penalty!$B$5+902</f>
        <v>47029</v>
      </c>
      <c r="B906" s="24" t="n">
        <f aca="false">IF(YEAR(A906)&gt;2026,Penalty!$B$16/100,IFERROR(INDEX(Rates!$B$4:$E$15,MATCH(YEAR(A906),Rates!$A$4:$A$15,0),ROUNDUP(MONTH(A906)/3,0))/100,0.03))</f>
        <v>0.07</v>
      </c>
      <c r="C906" s="25" t="n">
        <f aca="false">MAX(0,Penalty!$B$4-SUMIFS(Penalty!$C$10:$C$12,Penalty!$B$10:$B$12,"&lt;"&amp;A906))</f>
        <v>12000</v>
      </c>
      <c r="D906" s="25" t="n">
        <f aca="false">IF(A906&lt;=Penalty!$B$8,C906+F905+IF(A906&gt;Penalty!$B$19,Penalty!$I$5,0)+G905,0)</f>
        <v>0</v>
      </c>
      <c r="E906" s="26" t="n">
        <f aca="false">D906*B906/365</f>
        <v>0</v>
      </c>
      <c r="F906" s="25" t="n">
        <f aca="false">F905+E906*(1-IF(D906&gt;0,(IF(A906&gt;Penalty!$B$19,Penalty!$I$5,0)+G905)/D906,0))</f>
        <v>345.789278153858</v>
      </c>
      <c r="G906" s="25" t="n">
        <f aca="false">G905+E906*IF(D906&gt;0,(IF(A906&gt;Penalty!$B$19,Penalty!$I$5,0)+G905)/D906,0)</f>
        <v>46.6815525507708</v>
      </c>
    </row>
    <row r="907" customFormat="false" ht="15" hidden="false" customHeight="false" outlineLevel="0" collapsed="false">
      <c r="A907" s="23" t="n">
        <f aca="false">Penalty!$B$5+903</f>
        <v>47030</v>
      </c>
      <c r="B907" s="24" t="n">
        <f aca="false">IF(YEAR(A907)&gt;2026,Penalty!$B$16/100,IFERROR(INDEX(Rates!$B$4:$E$15,MATCH(YEAR(A907),Rates!$A$4:$A$15,0),ROUNDUP(MONTH(A907)/3,0))/100,0.03))</f>
        <v>0.07</v>
      </c>
      <c r="C907" s="25" t="n">
        <f aca="false">MAX(0,Penalty!$B$4-SUMIFS(Penalty!$C$10:$C$12,Penalty!$B$10:$B$12,"&lt;"&amp;A907))</f>
        <v>12000</v>
      </c>
      <c r="D907" s="25" t="n">
        <f aca="false">IF(A907&lt;=Penalty!$B$8,C907+F906+IF(A907&gt;Penalty!$B$19,Penalty!$I$5,0)+G906,0)</f>
        <v>0</v>
      </c>
      <c r="E907" s="26" t="n">
        <f aca="false">D907*B907/365</f>
        <v>0</v>
      </c>
      <c r="F907" s="25" t="n">
        <f aca="false">F906+E907*(1-IF(D907&gt;0,(IF(A907&gt;Penalty!$B$19,Penalty!$I$5,0)+G906)/D907,0))</f>
        <v>345.789278153858</v>
      </c>
      <c r="G907" s="25" t="n">
        <f aca="false">G906+E907*IF(D907&gt;0,(IF(A907&gt;Penalty!$B$19,Penalty!$I$5,0)+G906)/D907,0)</f>
        <v>46.6815525507708</v>
      </c>
    </row>
    <row r="908" customFormat="false" ht="15" hidden="false" customHeight="false" outlineLevel="0" collapsed="false">
      <c r="A908" s="23" t="n">
        <f aca="false">Penalty!$B$5+904</f>
        <v>47031</v>
      </c>
      <c r="B908" s="24" t="n">
        <f aca="false">IF(YEAR(A908)&gt;2026,Penalty!$B$16/100,IFERROR(INDEX(Rates!$B$4:$E$15,MATCH(YEAR(A908),Rates!$A$4:$A$15,0),ROUNDUP(MONTH(A908)/3,0))/100,0.03))</f>
        <v>0.07</v>
      </c>
      <c r="C908" s="25" t="n">
        <f aca="false">MAX(0,Penalty!$B$4-SUMIFS(Penalty!$C$10:$C$12,Penalty!$B$10:$B$12,"&lt;"&amp;A908))</f>
        <v>12000</v>
      </c>
      <c r="D908" s="25" t="n">
        <f aca="false">IF(A908&lt;=Penalty!$B$8,C908+F907+IF(A908&gt;Penalty!$B$19,Penalty!$I$5,0)+G907,0)</f>
        <v>0</v>
      </c>
      <c r="E908" s="26" t="n">
        <f aca="false">D908*B908/365</f>
        <v>0</v>
      </c>
      <c r="F908" s="25" t="n">
        <f aca="false">F907+E908*(1-IF(D908&gt;0,(IF(A908&gt;Penalty!$B$19,Penalty!$I$5,0)+G907)/D908,0))</f>
        <v>345.789278153858</v>
      </c>
      <c r="G908" s="25" t="n">
        <f aca="false">G907+E908*IF(D908&gt;0,(IF(A908&gt;Penalty!$B$19,Penalty!$I$5,0)+G907)/D908,0)</f>
        <v>46.6815525507708</v>
      </c>
    </row>
    <row r="909" customFormat="false" ht="15" hidden="false" customHeight="false" outlineLevel="0" collapsed="false">
      <c r="A909" s="23" t="n">
        <f aca="false">Penalty!$B$5+905</f>
        <v>47032</v>
      </c>
      <c r="B909" s="24" t="n">
        <f aca="false">IF(YEAR(A909)&gt;2026,Penalty!$B$16/100,IFERROR(INDEX(Rates!$B$4:$E$15,MATCH(YEAR(A909),Rates!$A$4:$A$15,0),ROUNDUP(MONTH(A909)/3,0))/100,0.03))</f>
        <v>0.07</v>
      </c>
      <c r="C909" s="25" t="n">
        <f aca="false">MAX(0,Penalty!$B$4-SUMIFS(Penalty!$C$10:$C$12,Penalty!$B$10:$B$12,"&lt;"&amp;A909))</f>
        <v>12000</v>
      </c>
      <c r="D909" s="25" t="n">
        <f aca="false">IF(A909&lt;=Penalty!$B$8,C909+F908+IF(A909&gt;Penalty!$B$19,Penalty!$I$5,0)+G908,0)</f>
        <v>0</v>
      </c>
      <c r="E909" s="26" t="n">
        <f aca="false">D909*B909/365</f>
        <v>0</v>
      </c>
      <c r="F909" s="25" t="n">
        <f aca="false">F908+E909*(1-IF(D909&gt;0,(IF(A909&gt;Penalty!$B$19,Penalty!$I$5,0)+G908)/D909,0))</f>
        <v>345.789278153858</v>
      </c>
      <c r="G909" s="25" t="n">
        <f aca="false">G908+E909*IF(D909&gt;0,(IF(A909&gt;Penalty!$B$19,Penalty!$I$5,0)+G908)/D909,0)</f>
        <v>46.6815525507708</v>
      </c>
    </row>
    <row r="910" customFormat="false" ht="15" hidden="false" customHeight="false" outlineLevel="0" collapsed="false">
      <c r="A910" s="23" t="n">
        <f aca="false">Penalty!$B$5+906</f>
        <v>47033</v>
      </c>
      <c r="B910" s="24" t="n">
        <f aca="false">IF(YEAR(A910)&gt;2026,Penalty!$B$16/100,IFERROR(INDEX(Rates!$B$4:$E$15,MATCH(YEAR(A910),Rates!$A$4:$A$15,0),ROUNDUP(MONTH(A910)/3,0))/100,0.03))</f>
        <v>0.07</v>
      </c>
      <c r="C910" s="25" t="n">
        <f aca="false">MAX(0,Penalty!$B$4-SUMIFS(Penalty!$C$10:$C$12,Penalty!$B$10:$B$12,"&lt;"&amp;A910))</f>
        <v>12000</v>
      </c>
      <c r="D910" s="25" t="n">
        <f aca="false">IF(A910&lt;=Penalty!$B$8,C910+F909+IF(A910&gt;Penalty!$B$19,Penalty!$I$5,0)+G909,0)</f>
        <v>0</v>
      </c>
      <c r="E910" s="26" t="n">
        <f aca="false">D910*B910/365</f>
        <v>0</v>
      </c>
      <c r="F910" s="25" t="n">
        <f aca="false">F909+E910*(1-IF(D910&gt;0,(IF(A910&gt;Penalty!$B$19,Penalty!$I$5,0)+G909)/D910,0))</f>
        <v>345.789278153858</v>
      </c>
      <c r="G910" s="25" t="n">
        <f aca="false">G909+E910*IF(D910&gt;0,(IF(A910&gt;Penalty!$B$19,Penalty!$I$5,0)+G909)/D910,0)</f>
        <v>46.6815525507708</v>
      </c>
    </row>
    <row r="911" customFormat="false" ht="15" hidden="false" customHeight="false" outlineLevel="0" collapsed="false">
      <c r="A911" s="23" t="n">
        <f aca="false">Penalty!$B$5+907</f>
        <v>47034</v>
      </c>
      <c r="B911" s="24" t="n">
        <f aca="false">IF(YEAR(A911)&gt;2026,Penalty!$B$16/100,IFERROR(INDEX(Rates!$B$4:$E$15,MATCH(YEAR(A911),Rates!$A$4:$A$15,0),ROUNDUP(MONTH(A911)/3,0))/100,0.03))</f>
        <v>0.07</v>
      </c>
      <c r="C911" s="25" t="n">
        <f aca="false">MAX(0,Penalty!$B$4-SUMIFS(Penalty!$C$10:$C$12,Penalty!$B$10:$B$12,"&lt;"&amp;A911))</f>
        <v>12000</v>
      </c>
      <c r="D911" s="25" t="n">
        <f aca="false">IF(A911&lt;=Penalty!$B$8,C911+F910+IF(A911&gt;Penalty!$B$19,Penalty!$I$5,0)+G910,0)</f>
        <v>0</v>
      </c>
      <c r="E911" s="26" t="n">
        <f aca="false">D911*B911/365</f>
        <v>0</v>
      </c>
      <c r="F911" s="25" t="n">
        <f aca="false">F910+E911*(1-IF(D911&gt;0,(IF(A911&gt;Penalty!$B$19,Penalty!$I$5,0)+G910)/D911,0))</f>
        <v>345.789278153858</v>
      </c>
      <c r="G911" s="25" t="n">
        <f aca="false">G910+E911*IF(D911&gt;0,(IF(A911&gt;Penalty!$B$19,Penalty!$I$5,0)+G910)/D911,0)</f>
        <v>46.6815525507708</v>
      </c>
    </row>
    <row r="912" customFormat="false" ht="15" hidden="false" customHeight="false" outlineLevel="0" collapsed="false">
      <c r="A912" s="23" t="n">
        <f aca="false">Penalty!$B$5+908</f>
        <v>47035</v>
      </c>
      <c r="B912" s="24" t="n">
        <f aca="false">IF(YEAR(A912)&gt;2026,Penalty!$B$16/100,IFERROR(INDEX(Rates!$B$4:$E$15,MATCH(YEAR(A912),Rates!$A$4:$A$15,0),ROUNDUP(MONTH(A912)/3,0))/100,0.03))</f>
        <v>0.07</v>
      </c>
      <c r="C912" s="25" t="n">
        <f aca="false">MAX(0,Penalty!$B$4-SUMIFS(Penalty!$C$10:$C$12,Penalty!$B$10:$B$12,"&lt;"&amp;A912))</f>
        <v>12000</v>
      </c>
      <c r="D912" s="25" t="n">
        <f aca="false">IF(A912&lt;=Penalty!$B$8,C912+F911+IF(A912&gt;Penalty!$B$19,Penalty!$I$5,0)+G911,0)</f>
        <v>0</v>
      </c>
      <c r="E912" s="26" t="n">
        <f aca="false">D912*B912/365</f>
        <v>0</v>
      </c>
      <c r="F912" s="25" t="n">
        <f aca="false">F911+E912*(1-IF(D912&gt;0,(IF(A912&gt;Penalty!$B$19,Penalty!$I$5,0)+G911)/D912,0))</f>
        <v>345.789278153858</v>
      </c>
      <c r="G912" s="25" t="n">
        <f aca="false">G911+E912*IF(D912&gt;0,(IF(A912&gt;Penalty!$B$19,Penalty!$I$5,0)+G911)/D912,0)</f>
        <v>46.6815525507708</v>
      </c>
    </row>
    <row r="913" customFormat="false" ht="15" hidden="false" customHeight="false" outlineLevel="0" collapsed="false">
      <c r="A913" s="23" t="n">
        <f aca="false">Penalty!$B$5+909</f>
        <v>47036</v>
      </c>
      <c r="B913" s="24" t="n">
        <f aca="false">IF(YEAR(A913)&gt;2026,Penalty!$B$16/100,IFERROR(INDEX(Rates!$B$4:$E$15,MATCH(YEAR(A913),Rates!$A$4:$A$15,0),ROUNDUP(MONTH(A913)/3,0))/100,0.03))</f>
        <v>0.07</v>
      </c>
      <c r="C913" s="25" t="n">
        <f aca="false">MAX(0,Penalty!$B$4-SUMIFS(Penalty!$C$10:$C$12,Penalty!$B$10:$B$12,"&lt;"&amp;A913))</f>
        <v>12000</v>
      </c>
      <c r="D913" s="25" t="n">
        <f aca="false">IF(A913&lt;=Penalty!$B$8,C913+F912+IF(A913&gt;Penalty!$B$19,Penalty!$I$5,0)+G912,0)</f>
        <v>0</v>
      </c>
      <c r="E913" s="26" t="n">
        <f aca="false">D913*B913/365</f>
        <v>0</v>
      </c>
      <c r="F913" s="25" t="n">
        <f aca="false">F912+E913*(1-IF(D913&gt;0,(IF(A913&gt;Penalty!$B$19,Penalty!$I$5,0)+G912)/D913,0))</f>
        <v>345.789278153858</v>
      </c>
      <c r="G913" s="25" t="n">
        <f aca="false">G912+E913*IF(D913&gt;0,(IF(A913&gt;Penalty!$B$19,Penalty!$I$5,0)+G912)/D913,0)</f>
        <v>46.6815525507708</v>
      </c>
    </row>
    <row r="914" customFormat="false" ht="15" hidden="false" customHeight="false" outlineLevel="0" collapsed="false">
      <c r="A914" s="23" t="n">
        <f aca="false">Penalty!$B$5+910</f>
        <v>47037</v>
      </c>
      <c r="B914" s="24" t="n">
        <f aca="false">IF(YEAR(A914)&gt;2026,Penalty!$B$16/100,IFERROR(INDEX(Rates!$B$4:$E$15,MATCH(YEAR(A914),Rates!$A$4:$A$15,0),ROUNDUP(MONTH(A914)/3,0))/100,0.03))</f>
        <v>0.07</v>
      </c>
      <c r="C914" s="25" t="n">
        <f aca="false">MAX(0,Penalty!$B$4-SUMIFS(Penalty!$C$10:$C$12,Penalty!$B$10:$B$12,"&lt;"&amp;A914))</f>
        <v>12000</v>
      </c>
      <c r="D914" s="25" t="n">
        <f aca="false">IF(A914&lt;=Penalty!$B$8,C914+F913+IF(A914&gt;Penalty!$B$19,Penalty!$I$5,0)+G913,0)</f>
        <v>0</v>
      </c>
      <c r="E914" s="26" t="n">
        <f aca="false">D914*B914/365</f>
        <v>0</v>
      </c>
      <c r="F914" s="25" t="n">
        <f aca="false">F913+E914*(1-IF(D914&gt;0,(IF(A914&gt;Penalty!$B$19,Penalty!$I$5,0)+G913)/D914,0))</f>
        <v>345.789278153858</v>
      </c>
      <c r="G914" s="25" t="n">
        <f aca="false">G913+E914*IF(D914&gt;0,(IF(A914&gt;Penalty!$B$19,Penalty!$I$5,0)+G913)/D914,0)</f>
        <v>46.6815525507708</v>
      </c>
    </row>
    <row r="915" customFormat="false" ht="15" hidden="false" customHeight="false" outlineLevel="0" collapsed="false">
      <c r="A915" s="23" t="n">
        <f aca="false">Penalty!$B$5+911</f>
        <v>47038</v>
      </c>
      <c r="B915" s="24" t="n">
        <f aca="false">IF(YEAR(A915)&gt;2026,Penalty!$B$16/100,IFERROR(INDEX(Rates!$B$4:$E$15,MATCH(YEAR(A915),Rates!$A$4:$A$15,0),ROUNDUP(MONTH(A915)/3,0))/100,0.03))</f>
        <v>0.07</v>
      </c>
      <c r="C915" s="25" t="n">
        <f aca="false">MAX(0,Penalty!$B$4-SUMIFS(Penalty!$C$10:$C$12,Penalty!$B$10:$B$12,"&lt;"&amp;A915))</f>
        <v>12000</v>
      </c>
      <c r="D915" s="25" t="n">
        <f aca="false">IF(A915&lt;=Penalty!$B$8,C915+F914+IF(A915&gt;Penalty!$B$19,Penalty!$I$5,0)+G914,0)</f>
        <v>0</v>
      </c>
      <c r="E915" s="26" t="n">
        <f aca="false">D915*B915/365</f>
        <v>0</v>
      </c>
      <c r="F915" s="25" t="n">
        <f aca="false">F914+E915*(1-IF(D915&gt;0,(IF(A915&gt;Penalty!$B$19,Penalty!$I$5,0)+G914)/D915,0))</f>
        <v>345.789278153858</v>
      </c>
      <c r="G915" s="25" t="n">
        <f aca="false">G914+E915*IF(D915&gt;0,(IF(A915&gt;Penalty!$B$19,Penalty!$I$5,0)+G914)/D915,0)</f>
        <v>46.6815525507708</v>
      </c>
    </row>
    <row r="916" customFormat="false" ht="15" hidden="false" customHeight="false" outlineLevel="0" collapsed="false">
      <c r="A916" s="23" t="n">
        <f aca="false">Penalty!$B$5+912</f>
        <v>47039</v>
      </c>
      <c r="B916" s="24" t="n">
        <f aca="false">IF(YEAR(A916)&gt;2026,Penalty!$B$16/100,IFERROR(INDEX(Rates!$B$4:$E$15,MATCH(YEAR(A916),Rates!$A$4:$A$15,0),ROUNDUP(MONTH(A916)/3,0))/100,0.03))</f>
        <v>0.07</v>
      </c>
      <c r="C916" s="25" t="n">
        <f aca="false">MAX(0,Penalty!$B$4-SUMIFS(Penalty!$C$10:$C$12,Penalty!$B$10:$B$12,"&lt;"&amp;A916))</f>
        <v>12000</v>
      </c>
      <c r="D916" s="25" t="n">
        <f aca="false">IF(A916&lt;=Penalty!$B$8,C916+F915+IF(A916&gt;Penalty!$B$19,Penalty!$I$5,0)+G915,0)</f>
        <v>0</v>
      </c>
      <c r="E916" s="26" t="n">
        <f aca="false">D916*B916/365</f>
        <v>0</v>
      </c>
      <c r="F916" s="25" t="n">
        <f aca="false">F915+E916*(1-IF(D916&gt;0,(IF(A916&gt;Penalty!$B$19,Penalty!$I$5,0)+G915)/D916,0))</f>
        <v>345.789278153858</v>
      </c>
      <c r="G916" s="25" t="n">
        <f aca="false">G915+E916*IF(D916&gt;0,(IF(A916&gt;Penalty!$B$19,Penalty!$I$5,0)+G915)/D916,0)</f>
        <v>46.6815525507708</v>
      </c>
    </row>
    <row r="917" customFormat="false" ht="15" hidden="false" customHeight="false" outlineLevel="0" collapsed="false">
      <c r="A917" s="23" t="n">
        <f aca="false">Penalty!$B$5+913</f>
        <v>47040</v>
      </c>
      <c r="B917" s="24" t="n">
        <f aca="false">IF(YEAR(A917)&gt;2026,Penalty!$B$16/100,IFERROR(INDEX(Rates!$B$4:$E$15,MATCH(YEAR(A917),Rates!$A$4:$A$15,0),ROUNDUP(MONTH(A917)/3,0))/100,0.03))</f>
        <v>0.07</v>
      </c>
      <c r="C917" s="25" t="n">
        <f aca="false">MAX(0,Penalty!$B$4-SUMIFS(Penalty!$C$10:$C$12,Penalty!$B$10:$B$12,"&lt;"&amp;A917))</f>
        <v>12000</v>
      </c>
      <c r="D917" s="25" t="n">
        <f aca="false">IF(A917&lt;=Penalty!$B$8,C917+F916+IF(A917&gt;Penalty!$B$19,Penalty!$I$5,0)+G916,0)</f>
        <v>0</v>
      </c>
      <c r="E917" s="26" t="n">
        <f aca="false">D917*B917/365</f>
        <v>0</v>
      </c>
      <c r="F917" s="25" t="n">
        <f aca="false">F916+E917*(1-IF(D917&gt;0,(IF(A917&gt;Penalty!$B$19,Penalty!$I$5,0)+G916)/D917,0))</f>
        <v>345.789278153858</v>
      </c>
      <c r="G917" s="25" t="n">
        <f aca="false">G916+E917*IF(D917&gt;0,(IF(A917&gt;Penalty!$B$19,Penalty!$I$5,0)+G916)/D917,0)</f>
        <v>46.6815525507708</v>
      </c>
    </row>
    <row r="918" customFormat="false" ht="15" hidden="false" customHeight="false" outlineLevel="0" collapsed="false">
      <c r="A918" s="23" t="n">
        <f aca="false">Penalty!$B$5+914</f>
        <v>47041</v>
      </c>
      <c r="B918" s="24" t="n">
        <f aca="false">IF(YEAR(A918)&gt;2026,Penalty!$B$16/100,IFERROR(INDEX(Rates!$B$4:$E$15,MATCH(YEAR(A918),Rates!$A$4:$A$15,0),ROUNDUP(MONTH(A918)/3,0))/100,0.03))</f>
        <v>0.07</v>
      </c>
      <c r="C918" s="25" t="n">
        <f aca="false">MAX(0,Penalty!$B$4-SUMIFS(Penalty!$C$10:$C$12,Penalty!$B$10:$B$12,"&lt;"&amp;A918))</f>
        <v>12000</v>
      </c>
      <c r="D918" s="25" t="n">
        <f aca="false">IF(A918&lt;=Penalty!$B$8,C918+F917+IF(A918&gt;Penalty!$B$19,Penalty!$I$5,0)+G917,0)</f>
        <v>0</v>
      </c>
      <c r="E918" s="26" t="n">
        <f aca="false">D918*B918/365</f>
        <v>0</v>
      </c>
      <c r="F918" s="25" t="n">
        <f aca="false">F917+E918*(1-IF(D918&gt;0,(IF(A918&gt;Penalty!$B$19,Penalty!$I$5,0)+G917)/D918,0))</f>
        <v>345.789278153858</v>
      </c>
      <c r="G918" s="25" t="n">
        <f aca="false">G917+E918*IF(D918&gt;0,(IF(A918&gt;Penalty!$B$19,Penalty!$I$5,0)+G917)/D918,0)</f>
        <v>46.6815525507708</v>
      </c>
    </row>
    <row r="919" customFormat="false" ht="15" hidden="false" customHeight="false" outlineLevel="0" collapsed="false">
      <c r="A919" s="23" t="n">
        <f aca="false">Penalty!$B$5+915</f>
        <v>47042</v>
      </c>
      <c r="B919" s="24" t="n">
        <f aca="false">IF(YEAR(A919)&gt;2026,Penalty!$B$16/100,IFERROR(INDEX(Rates!$B$4:$E$15,MATCH(YEAR(A919),Rates!$A$4:$A$15,0),ROUNDUP(MONTH(A919)/3,0))/100,0.03))</f>
        <v>0.07</v>
      </c>
      <c r="C919" s="25" t="n">
        <f aca="false">MAX(0,Penalty!$B$4-SUMIFS(Penalty!$C$10:$C$12,Penalty!$B$10:$B$12,"&lt;"&amp;A919))</f>
        <v>12000</v>
      </c>
      <c r="D919" s="25" t="n">
        <f aca="false">IF(A919&lt;=Penalty!$B$8,C919+F918+IF(A919&gt;Penalty!$B$19,Penalty!$I$5,0)+G918,0)</f>
        <v>0</v>
      </c>
      <c r="E919" s="26" t="n">
        <f aca="false">D919*B919/365</f>
        <v>0</v>
      </c>
      <c r="F919" s="25" t="n">
        <f aca="false">F918+E919*(1-IF(D919&gt;0,(IF(A919&gt;Penalty!$B$19,Penalty!$I$5,0)+G918)/D919,0))</f>
        <v>345.789278153858</v>
      </c>
      <c r="G919" s="25" t="n">
        <f aca="false">G918+E919*IF(D919&gt;0,(IF(A919&gt;Penalty!$B$19,Penalty!$I$5,0)+G918)/D919,0)</f>
        <v>46.6815525507708</v>
      </c>
    </row>
    <row r="920" customFormat="false" ht="15" hidden="false" customHeight="false" outlineLevel="0" collapsed="false">
      <c r="A920" s="23" t="n">
        <f aca="false">Penalty!$B$5+916</f>
        <v>47043</v>
      </c>
      <c r="B920" s="24" t="n">
        <f aca="false">IF(YEAR(A920)&gt;2026,Penalty!$B$16/100,IFERROR(INDEX(Rates!$B$4:$E$15,MATCH(YEAR(A920),Rates!$A$4:$A$15,0),ROUNDUP(MONTH(A920)/3,0))/100,0.03))</f>
        <v>0.07</v>
      </c>
      <c r="C920" s="25" t="n">
        <f aca="false">MAX(0,Penalty!$B$4-SUMIFS(Penalty!$C$10:$C$12,Penalty!$B$10:$B$12,"&lt;"&amp;A920))</f>
        <v>12000</v>
      </c>
      <c r="D920" s="25" t="n">
        <f aca="false">IF(A920&lt;=Penalty!$B$8,C920+F919+IF(A920&gt;Penalty!$B$19,Penalty!$I$5,0)+G919,0)</f>
        <v>0</v>
      </c>
      <c r="E920" s="26" t="n">
        <f aca="false">D920*B920/365</f>
        <v>0</v>
      </c>
      <c r="F920" s="25" t="n">
        <f aca="false">F919+E920*(1-IF(D920&gt;0,(IF(A920&gt;Penalty!$B$19,Penalty!$I$5,0)+G919)/D920,0))</f>
        <v>345.789278153858</v>
      </c>
      <c r="G920" s="25" t="n">
        <f aca="false">G919+E920*IF(D920&gt;0,(IF(A920&gt;Penalty!$B$19,Penalty!$I$5,0)+G919)/D920,0)</f>
        <v>46.6815525507708</v>
      </c>
    </row>
    <row r="921" customFormat="false" ht="15" hidden="false" customHeight="false" outlineLevel="0" collapsed="false">
      <c r="A921" s="23" t="n">
        <f aca="false">Penalty!$B$5+917</f>
        <v>47044</v>
      </c>
      <c r="B921" s="24" t="n">
        <f aca="false">IF(YEAR(A921)&gt;2026,Penalty!$B$16/100,IFERROR(INDEX(Rates!$B$4:$E$15,MATCH(YEAR(A921),Rates!$A$4:$A$15,0),ROUNDUP(MONTH(A921)/3,0))/100,0.03))</f>
        <v>0.07</v>
      </c>
      <c r="C921" s="25" t="n">
        <f aca="false">MAX(0,Penalty!$B$4-SUMIFS(Penalty!$C$10:$C$12,Penalty!$B$10:$B$12,"&lt;"&amp;A921))</f>
        <v>12000</v>
      </c>
      <c r="D921" s="25" t="n">
        <f aca="false">IF(A921&lt;=Penalty!$B$8,C921+F920+IF(A921&gt;Penalty!$B$19,Penalty!$I$5,0)+G920,0)</f>
        <v>0</v>
      </c>
      <c r="E921" s="26" t="n">
        <f aca="false">D921*B921/365</f>
        <v>0</v>
      </c>
      <c r="F921" s="25" t="n">
        <f aca="false">F920+E921*(1-IF(D921&gt;0,(IF(A921&gt;Penalty!$B$19,Penalty!$I$5,0)+G920)/D921,0))</f>
        <v>345.789278153858</v>
      </c>
      <c r="G921" s="25" t="n">
        <f aca="false">G920+E921*IF(D921&gt;0,(IF(A921&gt;Penalty!$B$19,Penalty!$I$5,0)+G920)/D921,0)</f>
        <v>46.6815525507708</v>
      </c>
    </row>
    <row r="922" customFormat="false" ht="15" hidden="false" customHeight="false" outlineLevel="0" collapsed="false">
      <c r="A922" s="23" t="n">
        <f aca="false">Penalty!$B$5+918</f>
        <v>47045</v>
      </c>
      <c r="B922" s="24" t="n">
        <f aca="false">IF(YEAR(A922)&gt;2026,Penalty!$B$16/100,IFERROR(INDEX(Rates!$B$4:$E$15,MATCH(YEAR(A922),Rates!$A$4:$A$15,0),ROUNDUP(MONTH(A922)/3,0))/100,0.03))</f>
        <v>0.07</v>
      </c>
      <c r="C922" s="25" t="n">
        <f aca="false">MAX(0,Penalty!$B$4-SUMIFS(Penalty!$C$10:$C$12,Penalty!$B$10:$B$12,"&lt;"&amp;A922))</f>
        <v>12000</v>
      </c>
      <c r="D922" s="25" t="n">
        <f aca="false">IF(A922&lt;=Penalty!$B$8,C922+F921+IF(A922&gt;Penalty!$B$19,Penalty!$I$5,0)+G921,0)</f>
        <v>0</v>
      </c>
      <c r="E922" s="26" t="n">
        <f aca="false">D922*B922/365</f>
        <v>0</v>
      </c>
      <c r="F922" s="25" t="n">
        <f aca="false">F921+E922*(1-IF(D922&gt;0,(IF(A922&gt;Penalty!$B$19,Penalty!$I$5,0)+G921)/D922,0))</f>
        <v>345.789278153858</v>
      </c>
      <c r="G922" s="25" t="n">
        <f aca="false">G921+E922*IF(D922&gt;0,(IF(A922&gt;Penalty!$B$19,Penalty!$I$5,0)+G921)/D922,0)</f>
        <v>46.6815525507708</v>
      </c>
    </row>
    <row r="923" customFormat="false" ht="15" hidden="false" customHeight="false" outlineLevel="0" collapsed="false">
      <c r="A923" s="23" t="n">
        <f aca="false">Penalty!$B$5+919</f>
        <v>47046</v>
      </c>
      <c r="B923" s="24" t="n">
        <f aca="false">IF(YEAR(A923)&gt;2026,Penalty!$B$16/100,IFERROR(INDEX(Rates!$B$4:$E$15,MATCH(YEAR(A923),Rates!$A$4:$A$15,0),ROUNDUP(MONTH(A923)/3,0))/100,0.03))</f>
        <v>0.07</v>
      </c>
      <c r="C923" s="25" t="n">
        <f aca="false">MAX(0,Penalty!$B$4-SUMIFS(Penalty!$C$10:$C$12,Penalty!$B$10:$B$12,"&lt;"&amp;A923))</f>
        <v>12000</v>
      </c>
      <c r="D923" s="25" t="n">
        <f aca="false">IF(A923&lt;=Penalty!$B$8,C923+F922+IF(A923&gt;Penalty!$B$19,Penalty!$I$5,0)+G922,0)</f>
        <v>0</v>
      </c>
      <c r="E923" s="26" t="n">
        <f aca="false">D923*B923/365</f>
        <v>0</v>
      </c>
      <c r="F923" s="25" t="n">
        <f aca="false">F922+E923*(1-IF(D923&gt;0,(IF(A923&gt;Penalty!$B$19,Penalty!$I$5,0)+G922)/D923,0))</f>
        <v>345.789278153858</v>
      </c>
      <c r="G923" s="25" t="n">
        <f aca="false">G922+E923*IF(D923&gt;0,(IF(A923&gt;Penalty!$B$19,Penalty!$I$5,0)+G922)/D923,0)</f>
        <v>46.6815525507708</v>
      </c>
    </row>
    <row r="924" customFormat="false" ht="15" hidden="false" customHeight="false" outlineLevel="0" collapsed="false">
      <c r="A924" s="23" t="n">
        <f aca="false">Penalty!$B$5+920</f>
        <v>47047</v>
      </c>
      <c r="B924" s="24" t="n">
        <f aca="false">IF(YEAR(A924)&gt;2026,Penalty!$B$16/100,IFERROR(INDEX(Rates!$B$4:$E$15,MATCH(YEAR(A924),Rates!$A$4:$A$15,0),ROUNDUP(MONTH(A924)/3,0))/100,0.03))</f>
        <v>0.07</v>
      </c>
      <c r="C924" s="25" t="n">
        <f aca="false">MAX(0,Penalty!$B$4-SUMIFS(Penalty!$C$10:$C$12,Penalty!$B$10:$B$12,"&lt;"&amp;A924))</f>
        <v>12000</v>
      </c>
      <c r="D924" s="25" t="n">
        <f aca="false">IF(A924&lt;=Penalty!$B$8,C924+F923+IF(A924&gt;Penalty!$B$19,Penalty!$I$5,0)+G923,0)</f>
        <v>0</v>
      </c>
      <c r="E924" s="26" t="n">
        <f aca="false">D924*B924/365</f>
        <v>0</v>
      </c>
      <c r="F924" s="25" t="n">
        <f aca="false">F923+E924*(1-IF(D924&gt;0,(IF(A924&gt;Penalty!$B$19,Penalty!$I$5,0)+G923)/D924,0))</f>
        <v>345.789278153858</v>
      </c>
      <c r="G924" s="25" t="n">
        <f aca="false">G923+E924*IF(D924&gt;0,(IF(A924&gt;Penalty!$B$19,Penalty!$I$5,0)+G923)/D924,0)</f>
        <v>46.6815525507708</v>
      </c>
    </row>
    <row r="925" customFormat="false" ht="15" hidden="false" customHeight="false" outlineLevel="0" collapsed="false">
      <c r="A925" s="23" t="n">
        <f aca="false">Penalty!$B$5+921</f>
        <v>47048</v>
      </c>
      <c r="B925" s="24" t="n">
        <f aca="false">IF(YEAR(A925)&gt;2026,Penalty!$B$16/100,IFERROR(INDEX(Rates!$B$4:$E$15,MATCH(YEAR(A925),Rates!$A$4:$A$15,0),ROUNDUP(MONTH(A925)/3,0))/100,0.03))</f>
        <v>0.07</v>
      </c>
      <c r="C925" s="25" t="n">
        <f aca="false">MAX(0,Penalty!$B$4-SUMIFS(Penalty!$C$10:$C$12,Penalty!$B$10:$B$12,"&lt;"&amp;A925))</f>
        <v>12000</v>
      </c>
      <c r="D925" s="25" t="n">
        <f aca="false">IF(A925&lt;=Penalty!$B$8,C925+F924+IF(A925&gt;Penalty!$B$19,Penalty!$I$5,0)+G924,0)</f>
        <v>0</v>
      </c>
      <c r="E925" s="26" t="n">
        <f aca="false">D925*B925/365</f>
        <v>0</v>
      </c>
      <c r="F925" s="25" t="n">
        <f aca="false">F924+E925*(1-IF(D925&gt;0,(IF(A925&gt;Penalty!$B$19,Penalty!$I$5,0)+G924)/D925,0))</f>
        <v>345.789278153858</v>
      </c>
      <c r="G925" s="25" t="n">
        <f aca="false">G924+E925*IF(D925&gt;0,(IF(A925&gt;Penalty!$B$19,Penalty!$I$5,0)+G924)/D925,0)</f>
        <v>46.6815525507708</v>
      </c>
    </row>
    <row r="926" customFormat="false" ht="15" hidden="false" customHeight="false" outlineLevel="0" collapsed="false">
      <c r="A926" s="23" t="n">
        <f aca="false">Penalty!$B$5+922</f>
        <v>47049</v>
      </c>
      <c r="B926" s="24" t="n">
        <f aca="false">IF(YEAR(A926)&gt;2026,Penalty!$B$16/100,IFERROR(INDEX(Rates!$B$4:$E$15,MATCH(YEAR(A926),Rates!$A$4:$A$15,0),ROUNDUP(MONTH(A926)/3,0))/100,0.03))</f>
        <v>0.07</v>
      </c>
      <c r="C926" s="25" t="n">
        <f aca="false">MAX(0,Penalty!$B$4-SUMIFS(Penalty!$C$10:$C$12,Penalty!$B$10:$B$12,"&lt;"&amp;A926))</f>
        <v>12000</v>
      </c>
      <c r="D926" s="25" t="n">
        <f aca="false">IF(A926&lt;=Penalty!$B$8,C926+F925+IF(A926&gt;Penalty!$B$19,Penalty!$I$5,0)+G925,0)</f>
        <v>0</v>
      </c>
      <c r="E926" s="26" t="n">
        <f aca="false">D926*B926/365</f>
        <v>0</v>
      </c>
      <c r="F926" s="25" t="n">
        <f aca="false">F925+E926*(1-IF(D926&gt;0,(IF(A926&gt;Penalty!$B$19,Penalty!$I$5,0)+G925)/D926,0))</f>
        <v>345.789278153858</v>
      </c>
      <c r="G926" s="25" t="n">
        <f aca="false">G925+E926*IF(D926&gt;0,(IF(A926&gt;Penalty!$B$19,Penalty!$I$5,0)+G925)/D926,0)</f>
        <v>46.6815525507708</v>
      </c>
    </row>
    <row r="927" customFormat="false" ht="15" hidden="false" customHeight="false" outlineLevel="0" collapsed="false">
      <c r="A927" s="23" t="n">
        <f aca="false">Penalty!$B$5+923</f>
        <v>47050</v>
      </c>
      <c r="B927" s="24" t="n">
        <f aca="false">IF(YEAR(A927)&gt;2026,Penalty!$B$16/100,IFERROR(INDEX(Rates!$B$4:$E$15,MATCH(YEAR(A927),Rates!$A$4:$A$15,0),ROUNDUP(MONTH(A927)/3,0))/100,0.03))</f>
        <v>0.07</v>
      </c>
      <c r="C927" s="25" t="n">
        <f aca="false">MAX(0,Penalty!$B$4-SUMIFS(Penalty!$C$10:$C$12,Penalty!$B$10:$B$12,"&lt;"&amp;A927))</f>
        <v>12000</v>
      </c>
      <c r="D927" s="25" t="n">
        <f aca="false">IF(A927&lt;=Penalty!$B$8,C927+F926+IF(A927&gt;Penalty!$B$19,Penalty!$I$5,0)+G926,0)</f>
        <v>0</v>
      </c>
      <c r="E927" s="26" t="n">
        <f aca="false">D927*B927/365</f>
        <v>0</v>
      </c>
      <c r="F927" s="25" t="n">
        <f aca="false">F926+E927*(1-IF(D927&gt;0,(IF(A927&gt;Penalty!$B$19,Penalty!$I$5,0)+G926)/D927,0))</f>
        <v>345.789278153858</v>
      </c>
      <c r="G927" s="25" t="n">
        <f aca="false">G926+E927*IF(D927&gt;0,(IF(A927&gt;Penalty!$B$19,Penalty!$I$5,0)+G926)/D927,0)</f>
        <v>46.6815525507708</v>
      </c>
    </row>
    <row r="928" customFormat="false" ht="15" hidden="false" customHeight="false" outlineLevel="0" collapsed="false">
      <c r="A928" s="23" t="n">
        <f aca="false">Penalty!$B$5+924</f>
        <v>47051</v>
      </c>
      <c r="B928" s="24" t="n">
        <f aca="false">IF(YEAR(A928)&gt;2026,Penalty!$B$16/100,IFERROR(INDEX(Rates!$B$4:$E$15,MATCH(YEAR(A928),Rates!$A$4:$A$15,0),ROUNDUP(MONTH(A928)/3,0))/100,0.03))</f>
        <v>0.07</v>
      </c>
      <c r="C928" s="25" t="n">
        <f aca="false">MAX(0,Penalty!$B$4-SUMIFS(Penalty!$C$10:$C$12,Penalty!$B$10:$B$12,"&lt;"&amp;A928))</f>
        <v>12000</v>
      </c>
      <c r="D928" s="25" t="n">
        <f aca="false">IF(A928&lt;=Penalty!$B$8,C928+F927+IF(A928&gt;Penalty!$B$19,Penalty!$I$5,0)+G927,0)</f>
        <v>0</v>
      </c>
      <c r="E928" s="26" t="n">
        <f aca="false">D928*B928/365</f>
        <v>0</v>
      </c>
      <c r="F928" s="25" t="n">
        <f aca="false">F927+E928*(1-IF(D928&gt;0,(IF(A928&gt;Penalty!$B$19,Penalty!$I$5,0)+G927)/D928,0))</f>
        <v>345.789278153858</v>
      </c>
      <c r="G928" s="25" t="n">
        <f aca="false">G927+E928*IF(D928&gt;0,(IF(A928&gt;Penalty!$B$19,Penalty!$I$5,0)+G927)/D928,0)</f>
        <v>46.6815525507708</v>
      </c>
    </row>
    <row r="929" customFormat="false" ht="15" hidden="false" customHeight="false" outlineLevel="0" collapsed="false">
      <c r="A929" s="23" t="n">
        <f aca="false">Penalty!$B$5+925</f>
        <v>47052</v>
      </c>
      <c r="B929" s="24" t="n">
        <f aca="false">IF(YEAR(A929)&gt;2026,Penalty!$B$16/100,IFERROR(INDEX(Rates!$B$4:$E$15,MATCH(YEAR(A929),Rates!$A$4:$A$15,0),ROUNDUP(MONTH(A929)/3,0))/100,0.03))</f>
        <v>0.07</v>
      </c>
      <c r="C929" s="25" t="n">
        <f aca="false">MAX(0,Penalty!$B$4-SUMIFS(Penalty!$C$10:$C$12,Penalty!$B$10:$B$12,"&lt;"&amp;A929))</f>
        <v>12000</v>
      </c>
      <c r="D929" s="25" t="n">
        <f aca="false">IF(A929&lt;=Penalty!$B$8,C929+F928+IF(A929&gt;Penalty!$B$19,Penalty!$I$5,0)+G928,0)</f>
        <v>0</v>
      </c>
      <c r="E929" s="26" t="n">
        <f aca="false">D929*B929/365</f>
        <v>0</v>
      </c>
      <c r="F929" s="25" t="n">
        <f aca="false">F928+E929*(1-IF(D929&gt;0,(IF(A929&gt;Penalty!$B$19,Penalty!$I$5,0)+G928)/D929,0))</f>
        <v>345.789278153858</v>
      </c>
      <c r="G929" s="25" t="n">
        <f aca="false">G928+E929*IF(D929&gt;0,(IF(A929&gt;Penalty!$B$19,Penalty!$I$5,0)+G928)/D929,0)</f>
        <v>46.6815525507708</v>
      </c>
    </row>
    <row r="930" customFormat="false" ht="15" hidden="false" customHeight="false" outlineLevel="0" collapsed="false">
      <c r="A930" s="23" t="n">
        <f aca="false">Penalty!$B$5+926</f>
        <v>47053</v>
      </c>
      <c r="B930" s="24" t="n">
        <f aca="false">IF(YEAR(A930)&gt;2026,Penalty!$B$16/100,IFERROR(INDEX(Rates!$B$4:$E$15,MATCH(YEAR(A930),Rates!$A$4:$A$15,0),ROUNDUP(MONTH(A930)/3,0))/100,0.03))</f>
        <v>0.07</v>
      </c>
      <c r="C930" s="25" t="n">
        <f aca="false">MAX(0,Penalty!$B$4-SUMIFS(Penalty!$C$10:$C$12,Penalty!$B$10:$B$12,"&lt;"&amp;A930))</f>
        <v>12000</v>
      </c>
      <c r="D930" s="25" t="n">
        <f aca="false">IF(A930&lt;=Penalty!$B$8,C930+F929+IF(A930&gt;Penalty!$B$19,Penalty!$I$5,0)+G929,0)</f>
        <v>0</v>
      </c>
      <c r="E930" s="26" t="n">
        <f aca="false">D930*B930/365</f>
        <v>0</v>
      </c>
      <c r="F930" s="25" t="n">
        <f aca="false">F929+E930*(1-IF(D930&gt;0,(IF(A930&gt;Penalty!$B$19,Penalty!$I$5,0)+G929)/D930,0))</f>
        <v>345.789278153858</v>
      </c>
      <c r="G930" s="25" t="n">
        <f aca="false">G929+E930*IF(D930&gt;0,(IF(A930&gt;Penalty!$B$19,Penalty!$I$5,0)+G929)/D930,0)</f>
        <v>46.6815525507708</v>
      </c>
    </row>
    <row r="931" customFormat="false" ht="15" hidden="false" customHeight="false" outlineLevel="0" collapsed="false">
      <c r="A931" s="23" t="n">
        <f aca="false">Penalty!$B$5+927</f>
        <v>47054</v>
      </c>
      <c r="B931" s="24" t="n">
        <f aca="false">IF(YEAR(A931)&gt;2026,Penalty!$B$16/100,IFERROR(INDEX(Rates!$B$4:$E$15,MATCH(YEAR(A931),Rates!$A$4:$A$15,0),ROUNDUP(MONTH(A931)/3,0))/100,0.03))</f>
        <v>0.07</v>
      </c>
      <c r="C931" s="25" t="n">
        <f aca="false">MAX(0,Penalty!$B$4-SUMIFS(Penalty!$C$10:$C$12,Penalty!$B$10:$B$12,"&lt;"&amp;A931))</f>
        <v>12000</v>
      </c>
      <c r="D931" s="25" t="n">
        <f aca="false">IF(A931&lt;=Penalty!$B$8,C931+F930+IF(A931&gt;Penalty!$B$19,Penalty!$I$5,0)+G930,0)</f>
        <v>0</v>
      </c>
      <c r="E931" s="26" t="n">
        <f aca="false">D931*B931/365</f>
        <v>0</v>
      </c>
      <c r="F931" s="25" t="n">
        <f aca="false">F930+E931*(1-IF(D931&gt;0,(IF(A931&gt;Penalty!$B$19,Penalty!$I$5,0)+G930)/D931,0))</f>
        <v>345.789278153858</v>
      </c>
      <c r="G931" s="25" t="n">
        <f aca="false">G930+E931*IF(D931&gt;0,(IF(A931&gt;Penalty!$B$19,Penalty!$I$5,0)+G930)/D931,0)</f>
        <v>46.6815525507708</v>
      </c>
    </row>
    <row r="932" customFormat="false" ht="15" hidden="false" customHeight="false" outlineLevel="0" collapsed="false">
      <c r="A932" s="23" t="n">
        <f aca="false">Penalty!$B$5+928</f>
        <v>47055</v>
      </c>
      <c r="B932" s="24" t="n">
        <f aca="false">IF(YEAR(A932)&gt;2026,Penalty!$B$16/100,IFERROR(INDEX(Rates!$B$4:$E$15,MATCH(YEAR(A932),Rates!$A$4:$A$15,0),ROUNDUP(MONTH(A932)/3,0))/100,0.03))</f>
        <v>0.07</v>
      </c>
      <c r="C932" s="25" t="n">
        <f aca="false">MAX(0,Penalty!$B$4-SUMIFS(Penalty!$C$10:$C$12,Penalty!$B$10:$B$12,"&lt;"&amp;A932))</f>
        <v>12000</v>
      </c>
      <c r="D932" s="25" t="n">
        <f aca="false">IF(A932&lt;=Penalty!$B$8,C932+F931+IF(A932&gt;Penalty!$B$19,Penalty!$I$5,0)+G931,0)</f>
        <v>0</v>
      </c>
      <c r="E932" s="26" t="n">
        <f aca="false">D932*B932/365</f>
        <v>0</v>
      </c>
      <c r="F932" s="25" t="n">
        <f aca="false">F931+E932*(1-IF(D932&gt;0,(IF(A932&gt;Penalty!$B$19,Penalty!$I$5,0)+G931)/D932,0))</f>
        <v>345.789278153858</v>
      </c>
      <c r="G932" s="25" t="n">
        <f aca="false">G931+E932*IF(D932&gt;0,(IF(A932&gt;Penalty!$B$19,Penalty!$I$5,0)+G931)/D932,0)</f>
        <v>46.6815525507708</v>
      </c>
    </row>
    <row r="933" customFormat="false" ht="15" hidden="false" customHeight="false" outlineLevel="0" collapsed="false">
      <c r="A933" s="23" t="n">
        <f aca="false">Penalty!$B$5+929</f>
        <v>47056</v>
      </c>
      <c r="B933" s="24" t="n">
        <f aca="false">IF(YEAR(A933)&gt;2026,Penalty!$B$16/100,IFERROR(INDEX(Rates!$B$4:$E$15,MATCH(YEAR(A933),Rates!$A$4:$A$15,0),ROUNDUP(MONTH(A933)/3,0))/100,0.03))</f>
        <v>0.07</v>
      </c>
      <c r="C933" s="25" t="n">
        <f aca="false">MAX(0,Penalty!$B$4-SUMIFS(Penalty!$C$10:$C$12,Penalty!$B$10:$B$12,"&lt;"&amp;A933))</f>
        <v>12000</v>
      </c>
      <c r="D933" s="25" t="n">
        <f aca="false">IF(A933&lt;=Penalty!$B$8,C933+F932+IF(A933&gt;Penalty!$B$19,Penalty!$I$5,0)+G932,0)</f>
        <v>0</v>
      </c>
      <c r="E933" s="26" t="n">
        <f aca="false">D933*B933/365</f>
        <v>0</v>
      </c>
      <c r="F933" s="25" t="n">
        <f aca="false">F932+E933*(1-IF(D933&gt;0,(IF(A933&gt;Penalty!$B$19,Penalty!$I$5,0)+G932)/D933,0))</f>
        <v>345.789278153858</v>
      </c>
      <c r="G933" s="25" t="n">
        <f aca="false">G932+E933*IF(D933&gt;0,(IF(A933&gt;Penalty!$B$19,Penalty!$I$5,0)+G932)/D933,0)</f>
        <v>46.6815525507708</v>
      </c>
    </row>
    <row r="934" customFormat="false" ht="15" hidden="false" customHeight="false" outlineLevel="0" collapsed="false">
      <c r="A934" s="23" t="n">
        <f aca="false">Penalty!$B$5+930</f>
        <v>47057</v>
      </c>
      <c r="B934" s="24" t="n">
        <f aca="false">IF(YEAR(A934)&gt;2026,Penalty!$B$16/100,IFERROR(INDEX(Rates!$B$4:$E$15,MATCH(YEAR(A934),Rates!$A$4:$A$15,0),ROUNDUP(MONTH(A934)/3,0))/100,0.03))</f>
        <v>0.07</v>
      </c>
      <c r="C934" s="25" t="n">
        <f aca="false">MAX(0,Penalty!$B$4-SUMIFS(Penalty!$C$10:$C$12,Penalty!$B$10:$B$12,"&lt;"&amp;A934))</f>
        <v>12000</v>
      </c>
      <c r="D934" s="25" t="n">
        <f aca="false">IF(A934&lt;=Penalty!$B$8,C934+F933+IF(A934&gt;Penalty!$B$19,Penalty!$I$5,0)+G933,0)</f>
        <v>0</v>
      </c>
      <c r="E934" s="26" t="n">
        <f aca="false">D934*B934/365</f>
        <v>0</v>
      </c>
      <c r="F934" s="25" t="n">
        <f aca="false">F933+E934*(1-IF(D934&gt;0,(IF(A934&gt;Penalty!$B$19,Penalty!$I$5,0)+G933)/D934,0))</f>
        <v>345.789278153858</v>
      </c>
      <c r="G934" s="25" t="n">
        <f aca="false">G933+E934*IF(D934&gt;0,(IF(A934&gt;Penalty!$B$19,Penalty!$I$5,0)+G933)/D934,0)</f>
        <v>46.6815525507708</v>
      </c>
    </row>
    <row r="935" customFormat="false" ht="15" hidden="false" customHeight="false" outlineLevel="0" collapsed="false">
      <c r="A935" s="23" t="n">
        <f aca="false">Penalty!$B$5+931</f>
        <v>47058</v>
      </c>
      <c r="B935" s="24" t="n">
        <f aca="false">IF(YEAR(A935)&gt;2026,Penalty!$B$16/100,IFERROR(INDEX(Rates!$B$4:$E$15,MATCH(YEAR(A935),Rates!$A$4:$A$15,0),ROUNDUP(MONTH(A935)/3,0))/100,0.03))</f>
        <v>0.07</v>
      </c>
      <c r="C935" s="25" t="n">
        <f aca="false">MAX(0,Penalty!$B$4-SUMIFS(Penalty!$C$10:$C$12,Penalty!$B$10:$B$12,"&lt;"&amp;A935))</f>
        <v>12000</v>
      </c>
      <c r="D935" s="25" t="n">
        <f aca="false">IF(A935&lt;=Penalty!$B$8,C935+F934+IF(A935&gt;Penalty!$B$19,Penalty!$I$5,0)+G934,0)</f>
        <v>0</v>
      </c>
      <c r="E935" s="26" t="n">
        <f aca="false">D935*B935/365</f>
        <v>0</v>
      </c>
      <c r="F935" s="25" t="n">
        <f aca="false">F934+E935*(1-IF(D935&gt;0,(IF(A935&gt;Penalty!$B$19,Penalty!$I$5,0)+G934)/D935,0))</f>
        <v>345.789278153858</v>
      </c>
      <c r="G935" s="25" t="n">
        <f aca="false">G934+E935*IF(D935&gt;0,(IF(A935&gt;Penalty!$B$19,Penalty!$I$5,0)+G934)/D935,0)</f>
        <v>46.6815525507708</v>
      </c>
    </row>
    <row r="936" customFormat="false" ht="15" hidden="false" customHeight="false" outlineLevel="0" collapsed="false">
      <c r="A936" s="23" t="n">
        <f aca="false">Penalty!$B$5+932</f>
        <v>47059</v>
      </c>
      <c r="B936" s="24" t="n">
        <f aca="false">IF(YEAR(A936)&gt;2026,Penalty!$B$16/100,IFERROR(INDEX(Rates!$B$4:$E$15,MATCH(YEAR(A936),Rates!$A$4:$A$15,0),ROUNDUP(MONTH(A936)/3,0))/100,0.03))</f>
        <v>0.07</v>
      </c>
      <c r="C936" s="25" t="n">
        <f aca="false">MAX(0,Penalty!$B$4-SUMIFS(Penalty!$C$10:$C$12,Penalty!$B$10:$B$12,"&lt;"&amp;A936))</f>
        <v>12000</v>
      </c>
      <c r="D936" s="25" t="n">
        <f aca="false">IF(A936&lt;=Penalty!$B$8,C936+F935+IF(A936&gt;Penalty!$B$19,Penalty!$I$5,0)+G935,0)</f>
        <v>0</v>
      </c>
      <c r="E936" s="26" t="n">
        <f aca="false">D936*B936/365</f>
        <v>0</v>
      </c>
      <c r="F936" s="25" t="n">
        <f aca="false">F935+E936*(1-IF(D936&gt;0,(IF(A936&gt;Penalty!$B$19,Penalty!$I$5,0)+G935)/D936,0))</f>
        <v>345.789278153858</v>
      </c>
      <c r="G936" s="25" t="n">
        <f aca="false">G935+E936*IF(D936&gt;0,(IF(A936&gt;Penalty!$B$19,Penalty!$I$5,0)+G935)/D936,0)</f>
        <v>46.6815525507708</v>
      </c>
    </row>
    <row r="937" customFormat="false" ht="15" hidden="false" customHeight="false" outlineLevel="0" collapsed="false">
      <c r="A937" s="23" t="n">
        <f aca="false">Penalty!$B$5+933</f>
        <v>47060</v>
      </c>
      <c r="B937" s="24" t="n">
        <f aca="false">IF(YEAR(A937)&gt;2026,Penalty!$B$16/100,IFERROR(INDEX(Rates!$B$4:$E$15,MATCH(YEAR(A937),Rates!$A$4:$A$15,0),ROUNDUP(MONTH(A937)/3,0))/100,0.03))</f>
        <v>0.07</v>
      </c>
      <c r="C937" s="25" t="n">
        <f aca="false">MAX(0,Penalty!$B$4-SUMIFS(Penalty!$C$10:$C$12,Penalty!$B$10:$B$12,"&lt;"&amp;A937))</f>
        <v>12000</v>
      </c>
      <c r="D937" s="25" t="n">
        <f aca="false">IF(A937&lt;=Penalty!$B$8,C937+F936+IF(A937&gt;Penalty!$B$19,Penalty!$I$5,0)+G936,0)</f>
        <v>0</v>
      </c>
      <c r="E937" s="26" t="n">
        <f aca="false">D937*B937/365</f>
        <v>0</v>
      </c>
      <c r="F937" s="25" t="n">
        <f aca="false">F936+E937*(1-IF(D937&gt;0,(IF(A937&gt;Penalty!$B$19,Penalty!$I$5,0)+G936)/D937,0))</f>
        <v>345.789278153858</v>
      </c>
      <c r="G937" s="25" t="n">
        <f aca="false">G936+E937*IF(D937&gt;0,(IF(A937&gt;Penalty!$B$19,Penalty!$I$5,0)+G936)/D937,0)</f>
        <v>46.6815525507708</v>
      </c>
    </row>
    <row r="938" customFormat="false" ht="15" hidden="false" customHeight="false" outlineLevel="0" collapsed="false">
      <c r="A938" s="23" t="n">
        <f aca="false">Penalty!$B$5+934</f>
        <v>47061</v>
      </c>
      <c r="B938" s="24" t="n">
        <f aca="false">IF(YEAR(A938)&gt;2026,Penalty!$B$16/100,IFERROR(INDEX(Rates!$B$4:$E$15,MATCH(YEAR(A938),Rates!$A$4:$A$15,0),ROUNDUP(MONTH(A938)/3,0))/100,0.03))</f>
        <v>0.07</v>
      </c>
      <c r="C938" s="25" t="n">
        <f aca="false">MAX(0,Penalty!$B$4-SUMIFS(Penalty!$C$10:$C$12,Penalty!$B$10:$B$12,"&lt;"&amp;A938))</f>
        <v>12000</v>
      </c>
      <c r="D938" s="25" t="n">
        <f aca="false">IF(A938&lt;=Penalty!$B$8,C938+F937+IF(A938&gt;Penalty!$B$19,Penalty!$I$5,0)+G937,0)</f>
        <v>0</v>
      </c>
      <c r="E938" s="26" t="n">
        <f aca="false">D938*B938/365</f>
        <v>0</v>
      </c>
      <c r="F938" s="25" t="n">
        <f aca="false">F937+E938*(1-IF(D938&gt;0,(IF(A938&gt;Penalty!$B$19,Penalty!$I$5,0)+G937)/D938,0))</f>
        <v>345.789278153858</v>
      </c>
      <c r="G938" s="25" t="n">
        <f aca="false">G937+E938*IF(D938&gt;0,(IF(A938&gt;Penalty!$B$19,Penalty!$I$5,0)+G937)/D938,0)</f>
        <v>46.6815525507708</v>
      </c>
    </row>
    <row r="939" customFormat="false" ht="15" hidden="false" customHeight="false" outlineLevel="0" collapsed="false">
      <c r="A939" s="23" t="n">
        <f aca="false">Penalty!$B$5+935</f>
        <v>47062</v>
      </c>
      <c r="B939" s="24" t="n">
        <f aca="false">IF(YEAR(A939)&gt;2026,Penalty!$B$16/100,IFERROR(INDEX(Rates!$B$4:$E$15,MATCH(YEAR(A939),Rates!$A$4:$A$15,0),ROUNDUP(MONTH(A939)/3,0))/100,0.03))</f>
        <v>0.07</v>
      </c>
      <c r="C939" s="25" t="n">
        <f aca="false">MAX(0,Penalty!$B$4-SUMIFS(Penalty!$C$10:$C$12,Penalty!$B$10:$B$12,"&lt;"&amp;A939))</f>
        <v>12000</v>
      </c>
      <c r="D939" s="25" t="n">
        <f aca="false">IF(A939&lt;=Penalty!$B$8,C939+F938+IF(A939&gt;Penalty!$B$19,Penalty!$I$5,0)+G938,0)</f>
        <v>0</v>
      </c>
      <c r="E939" s="26" t="n">
        <f aca="false">D939*B939/365</f>
        <v>0</v>
      </c>
      <c r="F939" s="25" t="n">
        <f aca="false">F938+E939*(1-IF(D939&gt;0,(IF(A939&gt;Penalty!$B$19,Penalty!$I$5,0)+G938)/D939,0))</f>
        <v>345.789278153858</v>
      </c>
      <c r="G939" s="25" t="n">
        <f aca="false">G938+E939*IF(D939&gt;0,(IF(A939&gt;Penalty!$B$19,Penalty!$I$5,0)+G938)/D939,0)</f>
        <v>46.6815525507708</v>
      </c>
    </row>
    <row r="940" customFormat="false" ht="15" hidden="false" customHeight="false" outlineLevel="0" collapsed="false">
      <c r="A940" s="23" t="n">
        <f aca="false">Penalty!$B$5+936</f>
        <v>47063</v>
      </c>
      <c r="B940" s="24" t="n">
        <f aca="false">IF(YEAR(A940)&gt;2026,Penalty!$B$16/100,IFERROR(INDEX(Rates!$B$4:$E$15,MATCH(YEAR(A940),Rates!$A$4:$A$15,0),ROUNDUP(MONTH(A940)/3,0))/100,0.03))</f>
        <v>0.07</v>
      </c>
      <c r="C940" s="25" t="n">
        <f aca="false">MAX(0,Penalty!$B$4-SUMIFS(Penalty!$C$10:$C$12,Penalty!$B$10:$B$12,"&lt;"&amp;A940))</f>
        <v>12000</v>
      </c>
      <c r="D940" s="25" t="n">
        <f aca="false">IF(A940&lt;=Penalty!$B$8,C940+F939+IF(A940&gt;Penalty!$B$19,Penalty!$I$5,0)+G939,0)</f>
        <v>0</v>
      </c>
      <c r="E940" s="26" t="n">
        <f aca="false">D940*B940/365</f>
        <v>0</v>
      </c>
      <c r="F940" s="25" t="n">
        <f aca="false">F939+E940*(1-IF(D940&gt;0,(IF(A940&gt;Penalty!$B$19,Penalty!$I$5,0)+G939)/D940,0))</f>
        <v>345.789278153858</v>
      </c>
      <c r="G940" s="25" t="n">
        <f aca="false">G939+E940*IF(D940&gt;0,(IF(A940&gt;Penalty!$B$19,Penalty!$I$5,0)+G939)/D940,0)</f>
        <v>46.6815525507708</v>
      </c>
    </row>
    <row r="941" customFormat="false" ht="15" hidden="false" customHeight="false" outlineLevel="0" collapsed="false">
      <c r="A941" s="23" t="n">
        <f aca="false">Penalty!$B$5+937</f>
        <v>47064</v>
      </c>
      <c r="B941" s="24" t="n">
        <f aca="false">IF(YEAR(A941)&gt;2026,Penalty!$B$16/100,IFERROR(INDEX(Rates!$B$4:$E$15,MATCH(YEAR(A941),Rates!$A$4:$A$15,0),ROUNDUP(MONTH(A941)/3,0))/100,0.03))</f>
        <v>0.07</v>
      </c>
      <c r="C941" s="25" t="n">
        <f aca="false">MAX(0,Penalty!$B$4-SUMIFS(Penalty!$C$10:$C$12,Penalty!$B$10:$B$12,"&lt;"&amp;A941))</f>
        <v>12000</v>
      </c>
      <c r="D941" s="25" t="n">
        <f aca="false">IF(A941&lt;=Penalty!$B$8,C941+F940+IF(A941&gt;Penalty!$B$19,Penalty!$I$5,0)+G940,0)</f>
        <v>0</v>
      </c>
      <c r="E941" s="26" t="n">
        <f aca="false">D941*B941/365</f>
        <v>0</v>
      </c>
      <c r="F941" s="25" t="n">
        <f aca="false">F940+E941*(1-IF(D941&gt;0,(IF(A941&gt;Penalty!$B$19,Penalty!$I$5,0)+G940)/D941,0))</f>
        <v>345.789278153858</v>
      </c>
      <c r="G941" s="25" t="n">
        <f aca="false">G940+E941*IF(D941&gt;0,(IF(A941&gt;Penalty!$B$19,Penalty!$I$5,0)+G940)/D941,0)</f>
        <v>46.6815525507708</v>
      </c>
    </row>
    <row r="942" customFormat="false" ht="15" hidden="false" customHeight="false" outlineLevel="0" collapsed="false">
      <c r="A942" s="23" t="n">
        <f aca="false">Penalty!$B$5+938</f>
        <v>47065</v>
      </c>
      <c r="B942" s="24" t="n">
        <f aca="false">IF(YEAR(A942)&gt;2026,Penalty!$B$16/100,IFERROR(INDEX(Rates!$B$4:$E$15,MATCH(YEAR(A942),Rates!$A$4:$A$15,0),ROUNDUP(MONTH(A942)/3,0))/100,0.03))</f>
        <v>0.07</v>
      </c>
      <c r="C942" s="25" t="n">
        <f aca="false">MAX(0,Penalty!$B$4-SUMIFS(Penalty!$C$10:$C$12,Penalty!$B$10:$B$12,"&lt;"&amp;A942))</f>
        <v>12000</v>
      </c>
      <c r="D942" s="25" t="n">
        <f aca="false">IF(A942&lt;=Penalty!$B$8,C942+F941+IF(A942&gt;Penalty!$B$19,Penalty!$I$5,0)+G941,0)</f>
        <v>0</v>
      </c>
      <c r="E942" s="26" t="n">
        <f aca="false">D942*B942/365</f>
        <v>0</v>
      </c>
      <c r="F942" s="25" t="n">
        <f aca="false">F941+E942*(1-IF(D942&gt;0,(IF(A942&gt;Penalty!$B$19,Penalty!$I$5,0)+G941)/D942,0))</f>
        <v>345.789278153858</v>
      </c>
      <c r="G942" s="25" t="n">
        <f aca="false">G941+E942*IF(D942&gt;0,(IF(A942&gt;Penalty!$B$19,Penalty!$I$5,0)+G941)/D942,0)</f>
        <v>46.6815525507708</v>
      </c>
    </row>
    <row r="943" customFormat="false" ht="15" hidden="false" customHeight="false" outlineLevel="0" collapsed="false">
      <c r="A943" s="23" t="n">
        <f aca="false">Penalty!$B$5+939</f>
        <v>47066</v>
      </c>
      <c r="B943" s="24" t="n">
        <f aca="false">IF(YEAR(A943)&gt;2026,Penalty!$B$16/100,IFERROR(INDEX(Rates!$B$4:$E$15,MATCH(YEAR(A943),Rates!$A$4:$A$15,0),ROUNDUP(MONTH(A943)/3,0))/100,0.03))</f>
        <v>0.07</v>
      </c>
      <c r="C943" s="25" t="n">
        <f aca="false">MAX(0,Penalty!$B$4-SUMIFS(Penalty!$C$10:$C$12,Penalty!$B$10:$B$12,"&lt;"&amp;A943))</f>
        <v>12000</v>
      </c>
      <c r="D943" s="25" t="n">
        <f aca="false">IF(A943&lt;=Penalty!$B$8,C943+F942+IF(A943&gt;Penalty!$B$19,Penalty!$I$5,0)+G942,0)</f>
        <v>0</v>
      </c>
      <c r="E943" s="26" t="n">
        <f aca="false">D943*B943/365</f>
        <v>0</v>
      </c>
      <c r="F943" s="25" t="n">
        <f aca="false">F942+E943*(1-IF(D943&gt;0,(IF(A943&gt;Penalty!$B$19,Penalty!$I$5,0)+G942)/D943,0))</f>
        <v>345.789278153858</v>
      </c>
      <c r="G943" s="25" t="n">
        <f aca="false">G942+E943*IF(D943&gt;0,(IF(A943&gt;Penalty!$B$19,Penalty!$I$5,0)+G942)/D943,0)</f>
        <v>46.6815525507708</v>
      </c>
    </row>
    <row r="944" customFormat="false" ht="15" hidden="false" customHeight="false" outlineLevel="0" collapsed="false">
      <c r="A944" s="23" t="n">
        <f aca="false">Penalty!$B$5+940</f>
        <v>47067</v>
      </c>
      <c r="B944" s="24" t="n">
        <f aca="false">IF(YEAR(A944)&gt;2026,Penalty!$B$16/100,IFERROR(INDEX(Rates!$B$4:$E$15,MATCH(YEAR(A944),Rates!$A$4:$A$15,0),ROUNDUP(MONTH(A944)/3,0))/100,0.03))</f>
        <v>0.07</v>
      </c>
      <c r="C944" s="25" t="n">
        <f aca="false">MAX(0,Penalty!$B$4-SUMIFS(Penalty!$C$10:$C$12,Penalty!$B$10:$B$12,"&lt;"&amp;A944))</f>
        <v>12000</v>
      </c>
      <c r="D944" s="25" t="n">
        <f aca="false">IF(A944&lt;=Penalty!$B$8,C944+F943+IF(A944&gt;Penalty!$B$19,Penalty!$I$5,0)+G943,0)</f>
        <v>0</v>
      </c>
      <c r="E944" s="26" t="n">
        <f aca="false">D944*B944/365</f>
        <v>0</v>
      </c>
      <c r="F944" s="25" t="n">
        <f aca="false">F943+E944*(1-IF(D944&gt;0,(IF(A944&gt;Penalty!$B$19,Penalty!$I$5,0)+G943)/D944,0))</f>
        <v>345.789278153858</v>
      </c>
      <c r="G944" s="25" t="n">
        <f aca="false">G943+E944*IF(D944&gt;0,(IF(A944&gt;Penalty!$B$19,Penalty!$I$5,0)+G943)/D944,0)</f>
        <v>46.6815525507708</v>
      </c>
    </row>
    <row r="945" customFormat="false" ht="15" hidden="false" customHeight="false" outlineLevel="0" collapsed="false">
      <c r="A945" s="23" t="n">
        <f aca="false">Penalty!$B$5+941</f>
        <v>47068</v>
      </c>
      <c r="B945" s="24" t="n">
        <f aca="false">IF(YEAR(A945)&gt;2026,Penalty!$B$16/100,IFERROR(INDEX(Rates!$B$4:$E$15,MATCH(YEAR(A945),Rates!$A$4:$A$15,0),ROUNDUP(MONTH(A945)/3,0))/100,0.03))</f>
        <v>0.07</v>
      </c>
      <c r="C945" s="25" t="n">
        <f aca="false">MAX(0,Penalty!$B$4-SUMIFS(Penalty!$C$10:$C$12,Penalty!$B$10:$B$12,"&lt;"&amp;A945))</f>
        <v>12000</v>
      </c>
      <c r="D945" s="25" t="n">
        <f aca="false">IF(A945&lt;=Penalty!$B$8,C945+F944+IF(A945&gt;Penalty!$B$19,Penalty!$I$5,0)+G944,0)</f>
        <v>0</v>
      </c>
      <c r="E945" s="26" t="n">
        <f aca="false">D945*B945/365</f>
        <v>0</v>
      </c>
      <c r="F945" s="25" t="n">
        <f aca="false">F944+E945*(1-IF(D945&gt;0,(IF(A945&gt;Penalty!$B$19,Penalty!$I$5,0)+G944)/D945,0))</f>
        <v>345.789278153858</v>
      </c>
      <c r="G945" s="25" t="n">
        <f aca="false">G944+E945*IF(D945&gt;0,(IF(A945&gt;Penalty!$B$19,Penalty!$I$5,0)+G944)/D945,0)</f>
        <v>46.6815525507708</v>
      </c>
    </row>
    <row r="946" customFormat="false" ht="15" hidden="false" customHeight="false" outlineLevel="0" collapsed="false">
      <c r="A946" s="23" t="n">
        <f aca="false">Penalty!$B$5+942</f>
        <v>47069</v>
      </c>
      <c r="B946" s="24" t="n">
        <f aca="false">IF(YEAR(A946)&gt;2026,Penalty!$B$16/100,IFERROR(INDEX(Rates!$B$4:$E$15,MATCH(YEAR(A946),Rates!$A$4:$A$15,0),ROUNDUP(MONTH(A946)/3,0))/100,0.03))</f>
        <v>0.07</v>
      </c>
      <c r="C946" s="25" t="n">
        <f aca="false">MAX(0,Penalty!$B$4-SUMIFS(Penalty!$C$10:$C$12,Penalty!$B$10:$B$12,"&lt;"&amp;A946))</f>
        <v>12000</v>
      </c>
      <c r="D946" s="25" t="n">
        <f aca="false">IF(A946&lt;=Penalty!$B$8,C946+F945+IF(A946&gt;Penalty!$B$19,Penalty!$I$5,0)+G945,0)</f>
        <v>0</v>
      </c>
      <c r="E946" s="26" t="n">
        <f aca="false">D946*B946/365</f>
        <v>0</v>
      </c>
      <c r="F946" s="25" t="n">
        <f aca="false">F945+E946*(1-IF(D946&gt;0,(IF(A946&gt;Penalty!$B$19,Penalty!$I$5,0)+G945)/D946,0))</f>
        <v>345.789278153858</v>
      </c>
      <c r="G946" s="25" t="n">
        <f aca="false">G945+E946*IF(D946&gt;0,(IF(A946&gt;Penalty!$B$19,Penalty!$I$5,0)+G945)/D946,0)</f>
        <v>46.6815525507708</v>
      </c>
    </row>
    <row r="947" customFormat="false" ht="15" hidden="false" customHeight="false" outlineLevel="0" collapsed="false">
      <c r="A947" s="23" t="n">
        <f aca="false">Penalty!$B$5+943</f>
        <v>47070</v>
      </c>
      <c r="B947" s="24" t="n">
        <f aca="false">IF(YEAR(A947)&gt;2026,Penalty!$B$16/100,IFERROR(INDEX(Rates!$B$4:$E$15,MATCH(YEAR(A947),Rates!$A$4:$A$15,0),ROUNDUP(MONTH(A947)/3,0))/100,0.03))</f>
        <v>0.07</v>
      </c>
      <c r="C947" s="25" t="n">
        <f aca="false">MAX(0,Penalty!$B$4-SUMIFS(Penalty!$C$10:$C$12,Penalty!$B$10:$B$12,"&lt;"&amp;A947))</f>
        <v>12000</v>
      </c>
      <c r="D947" s="25" t="n">
        <f aca="false">IF(A947&lt;=Penalty!$B$8,C947+F946+IF(A947&gt;Penalty!$B$19,Penalty!$I$5,0)+G946,0)</f>
        <v>0</v>
      </c>
      <c r="E947" s="26" t="n">
        <f aca="false">D947*B947/365</f>
        <v>0</v>
      </c>
      <c r="F947" s="25" t="n">
        <f aca="false">F946+E947*(1-IF(D947&gt;0,(IF(A947&gt;Penalty!$B$19,Penalty!$I$5,0)+G946)/D947,0))</f>
        <v>345.789278153858</v>
      </c>
      <c r="G947" s="25" t="n">
        <f aca="false">G946+E947*IF(D947&gt;0,(IF(A947&gt;Penalty!$B$19,Penalty!$I$5,0)+G946)/D947,0)</f>
        <v>46.6815525507708</v>
      </c>
    </row>
    <row r="948" customFormat="false" ht="15" hidden="false" customHeight="false" outlineLevel="0" collapsed="false">
      <c r="A948" s="23" t="n">
        <f aca="false">Penalty!$B$5+944</f>
        <v>47071</v>
      </c>
      <c r="B948" s="24" t="n">
        <f aca="false">IF(YEAR(A948)&gt;2026,Penalty!$B$16/100,IFERROR(INDEX(Rates!$B$4:$E$15,MATCH(YEAR(A948),Rates!$A$4:$A$15,0),ROUNDUP(MONTH(A948)/3,0))/100,0.03))</f>
        <v>0.07</v>
      </c>
      <c r="C948" s="25" t="n">
        <f aca="false">MAX(0,Penalty!$B$4-SUMIFS(Penalty!$C$10:$C$12,Penalty!$B$10:$B$12,"&lt;"&amp;A948))</f>
        <v>12000</v>
      </c>
      <c r="D948" s="25" t="n">
        <f aca="false">IF(A948&lt;=Penalty!$B$8,C948+F947+IF(A948&gt;Penalty!$B$19,Penalty!$I$5,0)+G947,0)</f>
        <v>0</v>
      </c>
      <c r="E948" s="26" t="n">
        <f aca="false">D948*B948/365</f>
        <v>0</v>
      </c>
      <c r="F948" s="25" t="n">
        <f aca="false">F947+E948*(1-IF(D948&gt;0,(IF(A948&gt;Penalty!$B$19,Penalty!$I$5,0)+G947)/D948,0))</f>
        <v>345.789278153858</v>
      </c>
      <c r="G948" s="25" t="n">
        <f aca="false">G947+E948*IF(D948&gt;0,(IF(A948&gt;Penalty!$B$19,Penalty!$I$5,0)+G947)/D948,0)</f>
        <v>46.6815525507708</v>
      </c>
    </row>
    <row r="949" customFormat="false" ht="15" hidden="false" customHeight="false" outlineLevel="0" collapsed="false">
      <c r="A949" s="23" t="n">
        <f aca="false">Penalty!$B$5+945</f>
        <v>47072</v>
      </c>
      <c r="B949" s="24" t="n">
        <f aca="false">IF(YEAR(A949)&gt;2026,Penalty!$B$16/100,IFERROR(INDEX(Rates!$B$4:$E$15,MATCH(YEAR(A949),Rates!$A$4:$A$15,0),ROUNDUP(MONTH(A949)/3,0))/100,0.03))</f>
        <v>0.07</v>
      </c>
      <c r="C949" s="25" t="n">
        <f aca="false">MAX(0,Penalty!$B$4-SUMIFS(Penalty!$C$10:$C$12,Penalty!$B$10:$B$12,"&lt;"&amp;A949))</f>
        <v>12000</v>
      </c>
      <c r="D949" s="25" t="n">
        <f aca="false">IF(A949&lt;=Penalty!$B$8,C949+F948+IF(A949&gt;Penalty!$B$19,Penalty!$I$5,0)+G948,0)</f>
        <v>0</v>
      </c>
      <c r="E949" s="26" t="n">
        <f aca="false">D949*B949/365</f>
        <v>0</v>
      </c>
      <c r="F949" s="25" t="n">
        <f aca="false">F948+E949*(1-IF(D949&gt;0,(IF(A949&gt;Penalty!$B$19,Penalty!$I$5,0)+G948)/D949,0))</f>
        <v>345.789278153858</v>
      </c>
      <c r="G949" s="25" t="n">
        <f aca="false">G948+E949*IF(D949&gt;0,(IF(A949&gt;Penalty!$B$19,Penalty!$I$5,0)+G948)/D949,0)</f>
        <v>46.6815525507708</v>
      </c>
    </row>
    <row r="950" customFormat="false" ht="15" hidden="false" customHeight="false" outlineLevel="0" collapsed="false">
      <c r="A950" s="23" t="n">
        <f aca="false">Penalty!$B$5+946</f>
        <v>47073</v>
      </c>
      <c r="B950" s="24" t="n">
        <f aca="false">IF(YEAR(A950)&gt;2026,Penalty!$B$16/100,IFERROR(INDEX(Rates!$B$4:$E$15,MATCH(YEAR(A950),Rates!$A$4:$A$15,0),ROUNDUP(MONTH(A950)/3,0))/100,0.03))</f>
        <v>0.07</v>
      </c>
      <c r="C950" s="25" t="n">
        <f aca="false">MAX(0,Penalty!$B$4-SUMIFS(Penalty!$C$10:$C$12,Penalty!$B$10:$B$12,"&lt;"&amp;A950))</f>
        <v>12000</v>
      </c>
      <c r="D950" s="25" t="n">
        <f aca="false">IF(A950&lt;=Penalty!$B$8,C950+F949+IF(A950&gt;Penalty!$B$19,Penalty!$I$5,0)+G949,0)</f>
        <v>0</v>
      </c>
      <c r="E950" s="26" t="n">
        <f aca="false">D950*B950/365</f>
        <v>0</v>
      </c>
      <c r="F950" s="25" t="n">
        <f aca="false">F949+E950*(1-IF(D950&gt;0,(IF(A950&gt;Penalty!$B$19,Penalty!$I$5,0)+G949)/D950,0))</f>
        <v>345.789278153858</v>
      </c>
      <c r="G950" s="25" t="n">
        <f aca="false">G949+E950*IF(D950&gt;0,(IF(A950&gt;Penalty!$B$19,Penalty!$I$5,0)+G949)/D950,0)</f>
        <v>46.6815525507708</v>
      </c>
    </row>
    <row r="951" customFormat="false" ht="15" hidden="false" customHeight="false" outlineLevel="0" collapsed="false">
      <c r="A951" s="23" t="n">
        <f aca="false">Penalty!$B$5+947</f>
        <v>47074</v>
      </c>
      <c r="B951" s="24" t="n">
        <f aca="false">IF(YEAR(A951)&gt;2026,Penalty!$B$16/100,IFERROR(INDEX(Rates!$B$4:$E$15,MATCH(YEAR(A951),Rates!$A$4:$A$15,0),ROUNDUP(MONTH(A951)/3,0))/100,0.03))</f>
        <v>0.07</v>
      </c>
      <c r="C951" s="25" t="n">
        <f aca="false">MAX(0,Penalty!$B$4-SUMIFS(Penalty!$C$10:$C$12,Penalty!$B$10:$B$12,"&lt;"&amp;A951))</f>
        <v>12000</v>
      </c>
      <c r="D951" s="25" t="n">
        <f aca="false">IF(A951&lt;=Penalty!$B$8,C951+F950+IF(A951&gt;Penalty!$B$19,Penalty!$I$5,0)+G950,0)</f>
        <v>0</v>
      </c>
      <c r="E951" s="26" t="n">
        <f aca="false">D951*B951/365</f>
        <v>0</v>
      </c>
      <c r="F951" s="25" t="n">
        <f aca="false">F950+E951*(1-IF(D951&gt;0,(IF(A951&gt;Penalty!$B$19,Penalty!$I$5,0)+G950)/D951,0))</f>
        <v>345.789278153858</v>
      </c>
      <c r="G951" s="25" t="n">
        <f aca="false">G950+E951*IF(D951&gt;0,(IF(A951&gt;Penalty!$B$19,Penalty!$I$5,0)+G950)/D951,0)</f>
        <v>46.6815525507708</v>
      </c>
    </row>
    <row r="952" customFormat="false" ht="15" hidden="false" customHeight="false" outlineLevel="0" collapsed="false">
      <c r="A952" s="23" t="n">
        <f aca="false">Penalty!$B$5+948</f>
        <v>47075</v>
      </c>
      <c r="B952" s="24" t="n">
        <f aca="false">IF(YEAR(A952)&gt;2026,Penalty!$B$16/100,IFERROR(INDEX(Rates!$B$4:$E$15,MATCH(YEAR(A952),Rates!$A$4:$A$15,0),ROUNDUP(MONTH(A952)/3,0))/100,0.03))</f>
        <v>0.07</v>
      </c>
      <c r="C952" s="25" t="n">
        <f aca="false">MAX(0,Penalty!$B$4-SUMIFS(Penalty!$C$10:$C$12,Penalty!$B$10:$B$12,"&lt;"&amp;A952))</f>
        <v>12000</v>
      </c>
      <c r="D952" s="25" t="n">
        <f aca="false">IF(A952&lt;=Penalty!$B$8,C952+F951+IF(A952&gt;Penalty!$B$19,Penalty!$I$5,0)+G951,0)</f>
        <v>0</v>
      </c>
      <c r="E952" s="26" t="n">
        <f aca="false">D952*B952/365</f>
        <v>0</v>
      </c>
      <c r="F952" s="25" t="n">
        <f aca="false">F951+E952*(1-IF(D952&gt;0,(IF(A952&gt;Penalty!$B$19,Penalty!$I$5,0)+G951)/D952,0))</f>
        <v>345.789278153858</v>
      </c>
      <c r="G952" s="25" t="n">
        <f aca="false">G951+E952*IF(D952&gt;0,(IF(A952&gt;Penalty!$B$19,Penalty!$I$5,0)+G951)/D952,0)</f>
        <v>46.6815525507708</v>
      </c>
    </row>
    <row r="953" customFormat="false" ht="15" hidden="false" customHeight="false" outlineLevel="0" collapsed="false">
      <c r="A953" s="23" t="n">
        <f aca="false">Penalty!$B$5+949</f>
        <v>47076</v>
      </c>
      <c r="B953" s="24" t="n">
        <f aca="false">IF(YEAR(A953)&gt;2026,Penalty!$B$16/100,IFERROR(INDEX(Rates!$B$4:$E$15,MATCH(YEAR(A953),Rates!$A$4:$A$15,0),ROUNDUP(MONTH(A953)/3,0))/100,0.03))</f>
        <v>0.07</v>
      </c>
      <c r="C953" s="25" t="n">
        <f aca="false">MAX(0,Penalty!$B$4-SUMIFS(Penalty!$C$10:$C$12,Penalty!$B$10:$B$12,"&lt;"&amp;A953))</f>
        <v>12000</v>
      </c>
      <c r="D953" s="25" t="n">
        <f aca="false">IF(A953&lt;=Penalty!$B$8,C953+F952+IF(A953&gt;Penalty!$B$19,Penalty!$I$5,0)+G952,0)</f>
        <v>0</v>
      </c>
      <c r="E953" s="26" t="n">
        <f aca="false">D953*B953/365</f>
        <v>0</v>
      </c>
      <c r="F953" s="25" t="n">
        <f aca="false">F952+E953*(1-IF(D953&gt;0,(IF(A953&gt;Penalty!$B$19,Penalty!$I$5,0)+G952)/D953,0))</f>
        <v>345.789278153858</v>
      </c>
      <c r="G953" s="25" t="n">
        <f aca="false">G952+E953*IF(D953&gt;0,(IF(A953&gt;Penalty!$B$19,Penalty!$I$5,0)+G952)/D953,0)</f>
        <v>46.6815525507708</v>
      </c>
    </row>
    <row r="954" customFormat="false" ht="15" hidden="false" customHeight="false" outlineLevel="0" collapsed="false">
      <c r="A954" s="23" t="n">
        <f aca="false">Penalty!$B$5+950</f>
        <v>47077</v>
      </c>
      <c r="B954" s="24" t="n">
        <f aca="false">IF(YEAR(A954)&gt;2026,Penalty!$B$16/100,IFERROR(INDEX(Rates!$B$4:$E$15,MATCH(YEAR(A954),Rates!$A$4:$A$15,0),ROUNDUP(MONTH(A954)/3,0))/100,0.03))</f>
        <v>0.07</v>
      </c>
      <c r="C954" s="25" t="n">
        <f aca="false">MAX(0,Penalty!$B$4-SUMIFS(Penalty!$C$10:$C$12,Penalty!$B$10:$B$12,"&lt;"&amp;A954))</f>
        <v>12000</v>
      </c>
      <c r="D954" s="25" t="n">
        <f aca="false">IF(A954&lt;=Penalty!$B$8,C954+F953+IF(A954&gt;Penalty!$B$19,Penalty!$I$5,0)+G953,0)</f>
        <v>0</v>
      </c>
      <c r="E954" s="26" t="n">
        <f aca="false">D954*B954/365</f>
        <v>0</v>
      </c>
      <c r="F954" s="25" t="n">
        <f aca="false">F953+E954*(1-IF(D954&gt;0,(IF(A954&gt;Penalty!$B$19,Penalty!$I$5,0)+G953)/D954,0))</f>
        <v>345.789278153858</v>
      </c>
      <c r="G954" s="25" t="n">
        <f aca="false">G953+E954*IF(D954&gt;0,(IF(A954&gt;Penalty!$B$19,Penalty!$I$5,0)+G953)/D954,0)</f>
        <v>46.6815525507708</v>
      </c>
    </row>
    <row r="955" customFormat="false" ht="15" hidden="false" customHeight="false" outlineLevel="0" collapsed="false">
      <c r="A955" s="23" t="n">
        <f aca="false">Penalty!$B$5+951</f>
        <v>47078</v>
      </c>
      <c r="B955" s="24" t="n">
        <f aca="false">IF(YEAR(A955)&gt;2026,Penalty!$B$16/100,IFERROR(INDEX(Rates!$B$4:$E$15,MATCH(YEAR(A955),Rates!$A$4:$A$15,0),ROUNDUP(MONTH(A955)/3,0))/100,0.03))</f>
        <v>0.07</v>
      </c>
      <c r="C955" s="25" t="n">
        <f aca="false">MAX(0,Penalty!$B$4-SUMIFS(Penalty!$C$10:$C$12,Penalty!$B$10:$B$12,"&lt;"&amp;A955))</f>
        <v>12000</v>
      </c>
      <c r="D955" s="25" t="n">
        <f aca="false">IF(A955&lt;=Penalty!$B$8,C955+F954+IF(A955&gt;Penalty!$B$19,Penalty!$I$5,0)+G954,0)</f>
        <v>0</v>
      </c>
      <c r="E955" s="26" t="n">
        <f aca="false">D955*B955/365</f>
        <v>0</v>
      </c>
      <c r="F955" s="25" t="n">
        <f aca="false">F954+E955*(1-IF(D955&gt;0,(IF(A955&gt;Penalty!$B$19,Penalty!$I$5,0)+G954)/D955,0))</f>
        <v>345.789278153858</v>
      </c>
      <c r="G955" s="25" t="n">
        <f aca="false">G954+E955*IF(D955&gt;0,(IF(A955&gt;Penalty!$B$19,Penalty!$I$5,0)+G954)/D955,0)</f>
        <v>46.6815525507708</v>
      </c>
    </row>
    <row r="956" customFormat="false" ht="15" hidden="false" customHeight="false" outlineLevel="0" collapsed="false">
      <c r="A956" s="23" t="n">
        <f aca="false">Penalty!$B$5+952</f>
        <v>47079</v>
      </c>
      <c r="B956" s="24" t="n">
        <f aca="false">IF(YEAR(A956)&gt;2026,Penalty!$B$16/100,IFERROR(INDEX(Rates!$B$4:$E$15,MATCH(YEAR(A956),Rates!$A$4:$A$15,0),ROUNDUP(MONTH(A956)/3,0))/100,0.03))</f>
        <v>0.07</v>
      </c>
      <c r="C956" s="25" t="n">
        <f aca="false">MAX(0,Penalty!$B$4-SUMIFS(Penalty!$C$10:$C$12,Penalty!$B$10:$B$12,"&lt;"&amp;A956))</f>
        <v>12000</v>
      </c>
      <c r="D956" s="25" t="n">
        <f aca="false">IF(A956&lt;=Penalty!$B$8,C956+F955+IF(A956&gt;Penalty!$B$19,Penalty!$I$5,0)+G955,0)</f>
        <v>0</v>
      </c>
      <c r="E956" s="26" t="n">
        <f aca="false">D956*B956/365</f>
        <v>0</v>
      </c>
      <c r="F956" s="25" t="n">
        <f aca="false">F955+E956*(1-IF(D956&gt;0,(IF(A956&gt;Penalty!$B$19,Penalty!$I$5,0)+G955)/D956,0))</f>
        <v>345.789278153858</v>
      </c>
      <c r="G956" s="25" t="n">
        <f aca="false">G955+E956*IF(D956&gt;0,(IF(A956&gt;Penalty!$B$19,Penalty!$I$5,0)+G955)/D956,0)</f>
        <v>46.6815525507708</v>
      </c>
    </row>
    <row r="957" customFormat="false" ht="15" hidden="false" customHeight="false" outlineLevel="0" collapsed="false">
      <c r="A957" s="23" t="n">
        <f aca="false">Penalty!$B$5+953</f>
        <v>47080</v>
      </c>
      <c r="B957" s="24" t="n">
        <f aca="false">IF(YEAR(A957)&gt;2026,Penalty!$B$16/100,IFERROR(INDEX(Rates!$B$4:$E$15,MATCH(YEAR(A957),Rates!$A$4:$A$15,0),ROUNDUP(MONTH(A957)/3,0))/100,0.03))</f>
        <v>0.07</v>
      </c>
      <c r="C957" s="25" t="n">
        <f aca="false">MAX(0,Penalty!$B$4-SUMIFS(Penalty!$C$10:$C$12,Penalty!$B$10:$B$12,"&lt;"&amp;A957))</f>
        <v>12000</v>
      </c>
      <c r="D957" s="25" t="n">
        <f aca="false">IF(A957&lt;=Penalty!$B$8,C957+F956+IF(A957&gt;Penalty!$B$19,Penalty!$I$5,0)+G956,0)</f>
        <v>0</v>
      </c>
      <c r="E957" s="26" t="n">
        <f aca="false">D957*B957/365</f>
        <v>0</v>
      </c>
      <c r="F957" s="25" t="n">
        <f aca="false">F956+E957*(1-IF(D957&gt;0,(IF(A957&gt;Penalty!$B$19,Penalty!$I$5,0)+G956)/D957,0))</f>
        <v>345.789278153858</v>
      </c>
      <c r="G957" s="25" t="n">
        <f aca="false">G956+E957*IF(D957&gt;0,(IF(A957&gt;Penalty!$B$19,Penalty!$I$5,0)+G956)/D957,0)</f>
        <v>46.6815525507708</v>
      </c>
    </row>
    <row r="958" customFormat="false" ht="15" hidden="false" customHeight="false" outlineLevel="0" collapsed="false">
      <c r="A958" s="23" t="n">
        <f aca="false">Penalty!$B$5+954</f>
        <v>47081</v>
      </c>
      <c r="B958" s="24" t="n">
        <f aca="false">IF(YEAR(A958)&gt;2026,Penalty!$B$16/100,IFERROR(INDEX(Rates!$B$4:$E$15,MATCH(YEAR(A958),Rates!$A$4:$A$15,0),ROUNDUP(MONTH(A958)/3,0))/100,0.03))</f>
        <v>0.07</v>
      </c>
      <c r="C958" s="25" t="n">
        <f aca="false">MAX(0,Penalty!$B$4-SUMIFS(Penalty!$C$10:$C$12,Penalty!$B$10:$B$12,"&lt;"&amp;A958))</f>
        <v>12000</v>
      </c>
      <c r="D958" s="25" t="n">
        <f aca="false">IF(A958&lt;=Penalty!$B$8,C958+F957+IF(A958&gt;Penalty!$B$19,Penalty!$I$5,0)+G957,0)</f>
        <v>0</v>
      </c>
      <c r="E958" s="26" t="n">
        <f aca="false">D958*B958/365</f>
        <v>0</v>
      </c>
      <c r="F958" s="25" t="n">
        <f aca="false">F957+E958*(1-IF(D958&gt;0,(IF(A958&gt;Penalty!$B$19,Penalty!$I$5,0)+G957)/D958,0))</f>
        <v>345.789278153858</v>
      </c>
      <c r="G958" s="25" t="n">
        <f aca="false">G957+E958*IF(D958&gt;0,(IF(A958&gt;Penalty!$B$19,Penalty!$I$5,0)+G957)/D958,0)</f>
        <v>46.6815525507708</v>
      </c>
    </row>
    <row r="959" customFormat="false" ht="15" hidden="false" customHeight="false" outlineLevel="0" collapsed="false">
      <c r="A959" s="23" t="n">
        <f aca="false">Penalty!$B$5+955</f>
        <v>47082</v>
      </c>
      <c r="B959" s="24" t="n">
        <f aca="false">IF(YEAR(A959)&gt;2026,Penalty!$B$16/100,IFERROR(INDEX(Rates!$B$4:$E$15,MATCH(YEAR(A959),Rates!$A$4:$A$15,0),ROUNDUP(MONTH(A959)/3,0))/100,0.03))</f>
        <v>0.07</v>
      </c>
      <c r="C959" s="25" t="n">
        <f aca="false">MAX(0,Penalty!$B$4-SUMIFS(Penalty!$C$10:$C$12,Penalty!$B$10:$B$12,"&lt;"&amp;A959))</f>
        <v>12000</v>
      </c>
      <c r="D959" s="25" t="n">
        <f aca="false">IF(A959&lt;=Penalty!$B$8,C959+F958+IF(A959&gt;Penalty!$B$19,Penalty!$I$5,0)+G958,0)</f>
        <v>0</v>
      </c>
      <c r="E959" s="26" t="n">
        <f aca="false">D959*B959/365</f>
        <v>0</v>
      </c>
      <c r="F959" s="25" t="n">
        <f aca="false">F958+E959*(1-IF(D959&gt;0,(IF(A959&gt;Penalty!$B$19,Penalty!$I$5,0)+G958)/D959,0))</f>
        <v>345.789278153858</v>
      </c>
      <c r="G959" s="25" t="n">
        <f aca="false">G958+E959*IF(D959&gt;0,(IF(A959&gt;Penalty!$B$19,Penalty!$I$5,0)+G958)/D959,0)</f>
        <v>46.6815525507708</v>
      </c>
    </row>
    <row r="960" customFormat="false" ht="15" hidden="false" customHeight="false" outlineLevel="0" collapsed="false">
      <c r="A960" s="23" t="n">
        <f aca="false">Penalty!$B$5+956</f>
        <v>47083</v>
      </c>
      <c r="B960" s="24" t="n">
        <f aca="false">IF(YEAR(A960)&gt;2026,Penalty!$B$16/100,IFERROR(INDEX(Rates!$B$4:$E$15,MATCH(YEAR(A960),Rates!$A$4:$A$15,0),ROUNDUP(MONTH(A960)/3,0))/100,0.03))</f>
        <v>0.07</v>
      </c>
      <c r="C960" s="25" t="n">
        <f aca="false">MAX(0,Penalty!$B$4-SUMIFS(Penalty!$C$10:$C$12,Penalty!$B$10:$B$12,"&lt;"&amp;A960))</f>
        <v>12000</v>
      </c>
      <c r="D960" s="25" t="n">
        <f aca="false">IF(A960&lt;=Penalty!$B$8,C960+F959+IF(A960&gt;Penalty!$B$19,Penalty!$I$5,0)+G959,0)</f>
        <v>0</v>
      </c>
      <c r="E960" s="26" t="n">
        <f aca="false">D960*B960/365</f>
        <v>0</v>
      </c>
      <c r="F960" s="25" t="n">
        <f aca="false">F959+E960*(1-IF(D960&gt;0,(IF(A960&gt;Penalty!$B$19,Penalty!$I$5,0)+G959)/D960,0))</f>
        <v>345.789278153858</v>
      </c>
      <c r="G960" s="25" t="n">
        <f aca="false">G959+E960*IF(D960&gt;0,(IF(A960&gt;Penalty!$B$19,Penalty!$I$5,0)+G959)/D960,0)</f>
        <v>46.6815525507708</v>
      </c>
    </row>
    <row r="961" customFormat="false" ht="15" hidden="false" customHeight="false" outlineLevel="0" collapsed="false">
      <c r="A961" s="23" t="n">
        <f aca="false">Penalty!$B$5+957</f>
        <v>47084</v>
      </c>
      <c r="B961" s="24" t="n">
        <f aca="false">IF(YEAR(A961)&gt;2026,Penalty!$B$16/100,IFERROR(INDEX(Rates!$B$4:$E$15,MATCH(YEAR(A961),Rates!$A$4:$A$15,0),ROUNDUP(MONTH(A961)/3,0))/100,0.03))</f>
        <v>0.07</v>
      </c>
      <c r="C961" s="25" t="n">
        <f aca="false">MAX(0,Penalty!$B$4-SUMIFS(Penalty!$C$10:$C$12,Penalty!$B$10:$B$12,"&lt;"&amp;A961))</f>
        <v>12000</v>
      </c>
      <c r="D961" s="25" t="n">
        <f aca="false">IF(A961&lt;=Penalty!$B$8,C961+F960+IF(A961&gt;Penalty!$B$19,Penalty!$I$5,0)+G960,0)</f>
        <v>0</v>
      </c>
      <c r="E961" s="26" t="n">
        <f aca="false">D961*B961/365</f>
        <v>0</v>
      </c>
      <c r="F961" s="25" t="n">
        <f aca="false">F960+E961*(1-IF(D961&gt;0,(IF(A961&gt;Penalty!$B$19,Penalty!$I$5,0)+G960)/D961,0))</f>
        <v>345.789278153858</v>
      </c>
      <c r="G961" s="25" t="n">
        <f aca="false">G960+E961*IF(D961&gt;0,(IF(A961&gt;Penalty!$B$19,Penalty!$I$5,0)+G960)/D961,0)</f>
        <v>46.6815525507708</v>
      </c>
    </row>
    <row r="962" customFormat="false" ht="15" hidden="false" customHeight="false" outlineLevel="0" collapsed="false">
      <c r="A962" s="23" t="n">
        <f aca="false">Penalty!$B$5+958</f>
        <v>47085</v>
      </c>
      <c r="B962" s="24" t="n">
        <f aca="false">IF(YEAR(A962)&gt;2026,Penalty!$B$16/100,IFERROR(INDEX(Rates!$B$4:$E$15,MATCH(YEAR(A962),Rates!$A$4:$A$15,0),ROUNDUP(MONTH(A962)/3,0))/100,0.03))</f>
        <v>0.07</v>
      </c>
      <c r="C962" s="25" t="n">
        <f aca="false">MAX(0,Penalty!$B$4-SUMIFS(Penalty!$C$10:$C$12,Penalty!$B$10:$B$12,"&lt;"&amp;A962))</f>
        <v>12000</v>
      </c>
      <c r="D962" s="25" t="n">
        <f aca="false">IF(A962&lt;=Penalty!$B$8,C962+F961+IF(A962&gt;Penalty!$B$19,Penalty!$I$5,0)+G961,0)</f>
        <v>0</v>
      </c>
      <c r="E962" s="26" t="n">
        <f aca="false">D962*B962/365</f>
        <v>0</v>
      </c>
      <c r="F962" s="25" t="n">
        <f aca="false">F961+E962*(1-IF(D962&gt;0,(IF(A962&gt;Penalty!$B$19,Penalty!$I$5,0)+G961)/D962,0))</f>
        <v>345.789278153858</v>
      </c>
      <c r="G962" s="25" t="n">
        <f aca="false">G961+E962*IF(D962&gt;0,(IF(A962&gt;Penalty!$B$19,Penalty!$I$5,0)+G961)/D962,0)</f>
        <v>46.6815525507708</v>
      </c>
    </row>
    <row r="963" customFormat="false" ht="15" hidden="false" customHeight="false" outlineLevel="0" collapsed="false">
      <c r="A963" s="23" t="n">
        <f aca="false">Penalty!$B$5+959</f>
        <v>47086</v>
      </c>
      <c r="B963" s="24" t="n">
        <f aca="false">IF(YEAR(A963)&gt;2026,Penalty!$B$16/100,IFERROR(INDEX(Rates!$B$4:$E$15,MATCH(YEAR(A963),Rates!$A$4:$A$15,0),ROUNDUP(MONTH(A963)/3,0))/100,0.03))</f>
        <v>0.07</v>
      </c>
      <c r="C963" s="25" t="n">
        <f aca="false">MAX(0,Penalty!$B$4-SUMIFS(Penalty!$C$10:$C$12,Penalty!$B$10:$B$12,"&lt;"&amp;A963))</f>
        <v>12000</v>
      </c>
      <c r="D963" s="25" t="n">
        <f aca="false">IF(A963&lt;=Penalty!$B$8,C963+F962+IF(A963&gt;Penalty!$B$19,Penalty!$I$5,0)+G962,0)</f>
        <v>0</v>
      </c>
      <c r="E963" s="26" t="n">
        <f aca="false">D963*B963/365</f>
        <v>0</v>
      </c>
      <c r="F963" s="25" t="n">
        <f aca="false">F962+E963*(1-IF(D963&gt;0,(IF(A963&gt;Penalty!$B$19,Penalty!$I$5,0)+G962)/D963,0))</f>
        <v>345.789278153858</v>
      </c>
      <c r="G963" s="25" t="n">
        <f aca="false">G962+E963*IF(D963&gt;0,(IF(A963&gt;Penalty!$B$19,Penalty!$I$5,0)+G962)/D963,0)</f>
        <v>46.6815525507708</v>
      </c>
    </row>
    <row r="964" customFormat="false" ht="15" hidden="false" customHeight="false" outlineLevel="0" collapsed="false">
      <c r="A964" s="23" t="n">
        <f aca="false">Penalty!$B$5+960</f>
        <v>47087</v>
      </c>
      <c r="B964" s="24" t="n">
        <f aca="false">IF(YEAR(A964)&gt;2026,Penalty!$B$16/100,IFERROR(INDEX(Rates!$B$4:$E$15,MATCH(YEAR(A964),Rates!$A$4:$A$15,0),ROUNDUP(MONTH(A964)/3,0))/100,0.03))</f>
        <v>0.07</v>
      </c>
      <c r="C964" s="25" t="n">
        <f aca="false">MAX(0,Penalty!$B$4-SUMIFS(Penalty!$C$10:$C$12,Penalty!$B$10:$B$12,"&lt;"&amp;A964))</f>
        <v>12000</v>
      </c>
      <c r="D964" s="25" t="n">
        <f aca="false">IF(A964&lt;=Penalty!$B$8,C964+F963+IF(A964&gt;Penalty!$B$19,Penalty!$I$5,0)+G963,0)</f>
        <v>0</v>
      </c>
      <c r="E964" s="26" t="n">
        <f aca="false">D964*B964/365</f>
        <v>0</v>
      </c>
      <c r="F964" s="25" t="n">
        <f aca="false">F963+E964*(1-IF(D964&gt;0,(IF(A964&gt;Penalty!$B$19,Penalty!$I$5,0)+G963)/D964,0))</f>
        <v>345.789278153858</v>
      </c>
      <c r="G964" s="25" t="n">
        <f aca="false">G963+E964*IF(D964&gt;0,(IF(A964&gt;Penalty!$B$19,Penalty!$I$5,0)+G963)/D964,0)</f>
        <v>46.6815525507708</v>
      </c>
    </row>
    <row r="965" customFormat="false" ht="15" hidden="false" customHeight="false" outlineLevel="0" collapsed="false">
      <c r="A965" s="23" t="n">
        <f aca="false">Penalty!$B$5+961</f>
        <v>47088</v>
      </c>
      <c r="B965" s="24" t="n">
        <f aca="false">IF(YEAR(A965)&gt;2026,Penalty!$B$16/100,IFERROR(INDEX(Rates!$B$4:$E$15,MATCH(YEAR(A965),Rates!$A$4:$A$15,0),ROUNDUP(MONTH(A965)/3,0))/100,0.03))</f>
        <v>0.07</v>
      </c>
      <c r="C965" s="25" t="n">
        <f aca="false">MAX(0,Penalty!$B$4-SUMIFS(Penalty!$C$10:$C$12,Penalty!$B$10:$B$12,"&lt;"&amp;A965))</f>
        <v>12000</v>
      </c>
      <c r="D965" s="25" t="n">
        <f aca="false">IF(A965&lt;=Penalty!$B$8,C965+F964+IF(A965&gt;Penalty!$B$19,Penalty!$I$5,0)+G964,0)</f>
        <v>0</v>
      </c>
      <c r="E965" s="26" t="n">
        <f aca="false">D965*B965/365</f>
        <v>0</v>
      </c>
      <c r="F965" s="25" t="n">
        <f aca="false">F964+E965*(1-IF(D965&gt;0,(IF(A965&gt;Penalty!$B$19,Penalty!$I$5,0)+G964)/D965,0))</f>
        <v>345.789278153858</v>
      </c>
      <c r="G965" s="25" t="n">
        <f aca="false">G964+E965*IF(D965&gt;0,(IF(A965&gt;Penalty!$B$19,Penalty!$I$5,0)+G964)/D965,0)</f>
        <v>46.6815525507708</v>
      </c>
    </row>
    <row r="966" customFormat="false" ht="15" hidden="false" customHeight="false" outlineLevel="0" collapsed="false">
      <c r="A966" s="23" t="n">
        <f aca="false">Penalty!$B$5+962</f>
        <v>47089</v>
      </c>
      <c r="B966" s="24" t="n">
        <f aca="false">IF(YEAR(A966)&gt;2026,Penalty!$B$16/100,IFERROR(INDEX(Rates!$B$4:$E$15,MATCH(YEAR(A966),Rates!$A$4:$A$15,0),ROUNDUP(MONTH(A966)/3,0))/100,0.03))</f>
        <v>0.07</v>
      </c>
      <c r="C966" s="25" t="n">
        <f aca="false">MAX(0,Penalty!$B$4-SUMIFS(Penalty!$C$10:$C$12,Penalty!$B$10:$B$12,"&lt;"&amp;A966))</f>
        <v>12000</v>
      </c>
      <c r="D966" s="25" t="n">
        <f aca="false">IF(A966&lt;=Penalty!$B$8,C966+F965+IF(A966&gt;Penalty!$B$19,Penalty!$I$5,0)+G965,0)</f>
        <v>0</v>
      </c>
      <c r="E966" s="26" t="n">
        <f aca="false">D966*B966/365</f>
        <v>0</v>
      </c>
      <c r="F966" s="25" t="n">
        <f aca="false">F965+E966*(1-IF(D966&gt;0,(IF(A966&gt;Penalty!$B$19,Penalty!$I$5,0)+G965)/D966,0))</f>
        <v>345.789278153858</v>
      </c>
      <c r="G966" s="25" t="n">
        <f aca="false">G965+E966*IF(D966&gt;0,(IF(A966&gt;Penalty!$B$19,Penalty!$I$5,0)+G965)/D966,0)</f>
        <v>46.6815525507708</v>
      </c>
    </row>
    <row r="967" customFormat="false" ht="15" hidden="false" customHeight="false" outlineLevel="0" collapsed="false">
      <c r="A967" s="23" t="n">
        <f aca="false">Penalty!$B$5+963</f>
        <v>47090</v>
      </c>
      <c r="B967" s="24" t="n">
        <f aca="false">IF(YEAR(A967)&gt;2026,Penalty!$B$16/100,IFERROR(INDEX(Rates!$B$4:$E$15,MATCH(YEAR(A967),Rates!$A$4:$A$15,0),ROUNDUP(MONTH(A967)/3,0))/100,0.03))</f>
        <v>0.07</v>
      </c>
      <c r="C967" s="25" t="n">
        <f aca="false">MAX(0,Penalty!$B$4-SUMIFS(Penalty!$C$10:$C$12,Penalty!$B$10:$B$12,"&lt;"&amp;A967))</f>
        <v>12000</v>
      </c>
      <c r="D967" s="25" t="n">
        <f aca="false">IF(A967&lt;=Penalty!$B$8,C967+F966+IF(A967&gt;Penalty!$B$19,Penalty!$I$5,0)+G966,0)</f>
        <v>0</v>
      </c>
      <c r="E967" s="26" t="n">
        <f aca="false">D967*B967/365</f>
        <v>0</v>
      </c>
      <c r="F967" s="25" t="n">
        <f aca="false">F966+E967*(1-IF(D967&gt;0,(IF(A967&gt;Penalty!$B$19,Penalty!$I$5,0)+G966)/D967,0))</f>
        <v>345.789278153858</v>
      </c>
      <c r="G967" s="25" t="n">
        <f aca="false">G966+E967*IF(D967&gt;0,(IF(A967&gt;Penalty!$B$19,Penalty!$I$5,0)+G966)/D967,0)</f>
        <v>46.6815525507708</v>
      </c>
    </row>
    <row r="968" customFormat="false" ht="15" hidden="false" customHeight="false" outlineLevel="0" collapsed="false">
      <c r="A968" s="23" t="n">
        <f aca="false">Penalty!$B$5+964</f>
        <v>47091</v>
      </c>
      <c r="B968" s="24" t="n">
        <f aca="false">IF(YEAR(A968)&gt;2026,Penalty!$B$16/100,IFERROR(INDEX(Rates!$B$4:$E$15,MATCH(YEAR(A968),Rates!$A$4:$A$15,0),ROUNDUP(MONTH(A968)/3,0))/100,0.03))</f>
        <v>0.07</v>
      </c>
      <c r="C968" s="25" t="n">
        <f aca="false">MAX(0,Penalty!$B$4-SUMIFS(Penalty!$C$10:$C$12,Penalty!$B$10:$B$12,"&lt;"&amp;A968))</f>
        <v>12000</v>
      </c>
      <c r="D968" s="25" t="n">
        <f aca="false">IF(A968&lt;=Penalty!$B$8,C968+F967+IF(A968&gt;Penalty!$B$19,Penalty!$I$5,0)+G967,0)</f>
        <v>0</v>
      </c>
      <c r="E968" s="26" t="n">
        <f aca="false">D968*B968/365</f>
        <v>0</v>
      </c>
      <c r="F968" s="25" t="n">
        <f aca="false">F967+E968*(1-IF(D968&gt;0,(IF(A968&gt;Penalty!$B$19,Penalty!$I$5,0)+G967)/D968,0))</f>
        <v>345.789278153858</v>
      </c>
      <c r="G968" s="25" t="n">
        <f aca="false">G967+E968*IF(D968&gt;0,(IF(A968&gt;Penalty!$B$19,Penalty!$I$5,0)+G967)/D968,0)</f>
        <v>46.6815525507708</v>
      </c>
    </row>
    <row r="969" customFormat="false" ht="15" hidden="false" customHeight="false" outlineLevel="0" collapsed="false">
      <c r="A969" s="23" t="n">
        <f aca="false">Penalty!$B$5+965</f>
        <v>47092</v>
      </c>
      <c r="B969" s="24" t="n">
        <f aca="false">IF(YEAR(A969)&gt;2026,Penalty!$B$16/100,IFERROR(INDEX(Rates!$B$4:$E$15,MATCH(YEAR(A969),Rates!$A$4:$A$15,0),ROUNDUP(MONTH(A969)/3,0))/100,0.03))</f>
        <v>0.07</v>
      </c>
      <c r="C969" s="25" t="n">
        <f aca="false">MAX(0,Penalty!$B$4-SUMIFS(Penalty!$C$10:$C$12,Penalty!$B$10:$B$12,"&lt;"&amp;A969))</f>
        <v>12000</v>
      </c>
      <c r="D969" s="25" t="n">
        <f aca="false">IF(A969&lt;=Penalty!$B$8,C969+F968+IF(A969&gt;Penalty!$B$19,Penalty!$I$5,0)+G968,0)</f>
        <v>0</v>
      </c>
      <c r="E969" s="26" t="n">
        <f aca="false">D969*B969/365</f>
        <v>0</v>
      </c>
      <c r="F969" s="25" t="n">
        <f aca="false">F968+E969*(1-IF(D969&gt;0,(IF(A969&gt;Penalty!$B$19,Penalty!$I$5,0)+G968)/D969,0))</f>
        <v>345.789278153858</v>
      </c>
      <c r="G969" s="25" t="n">
        <f aca="false">G968+E969*IF(D969&gt;0,(IF(A969&gt;Penalty!$B$19,Penalty!$I$5,0)+G968)/D969,0)</f>
        <v>46.6815525507708</v>
      </c>
    </row>
    <row r="970" customFormat="false" ht="15" hidden="false" customHeight="false" outlineLevel="0" collapsed="false">
      <c r="A970" s="23" t="n">
        <f aca="false">Penalty!$B$5+966</f>
        <v>47093</v>
      </c>
      <c r="B970" s="24" t="n">
        <f aca="false">IF(YEAR(A970)&gt;2026,Penalty!$B$16/100,IFERROR(INDEX(Rates!$B$4:$E$15,MATCH(YEAR(A970),Rates!$A$4:$A$15,0),ROUNDUP(MONTH(A970)/3,0))/100,0.03))</f>
        <v>0.07</v>
      </c>
      <c r="C970" s="25" t="n">
        <f aca="false">MAX(0,Penalty!$B$4-SUMIFS(Penalty!$C$10:$C$12,Penalty!$B$10:$B$12,"&lt;"&amp;A970))</f>
        <v>12000</v>
      </c>
      <c r="D970" s="25" t="n">
        <f aca="false">IF(A970&lt;=Penalty!$B$8,C970+F969+IF(A970&gt;Penalty!$B$19,Penalty!$I$5,0)+G969,0)</f>
        <v>0</v>
      </c>
      <c r="E970" s="26" t="n">
        <f aca="false">D970*B970/365</f>
        <v>0</v>
      </c>
      <c r="F970" s="25" t="n">
        <f aca="false">F969+E970*(1-IF(D970&gt;0,(IF(A970&gt;Penalty!$B$19,Penalty!$I$5,0)+G969)/D970,0))</f>
        <v>345.789278153858</v>
      </c>
      <c r="G970" s="25" t="n">
        <f aca="false">G969+E970*IF(D970&gt;0,(IF(A970&gt;Penalty!$B$19,Penalty!$I$5,0)+G969)/D970,0)</f>
        <v>46.6815525507708</v>
      </c>
    </row>
    <row r="971" customFormat="false" ht="15" hidden="false" customHeight="false" outlineLevel="0" collapsed="false">
      <c r="A971" s="23" t="n">
        <f aca="false">Penalty!$B$5+967</f>
        <v>47094</v>
      </c>
      <c r="B971" s="24" t="n">
        <f aca="false">IF(YEAR(A971)&gt;2026,Penalty!$B$16/100,IFERROR(INDEX(Rates!$B$4:$E$15,MATCH(YEAR(A971),Rates!$A$4:$A$15,0),ROUNDUP(MONTH(A971)/3,0))/100,0.03))</f>
        <v>0.07</v>
      </c>
      <c r="C971" s="25" t="n">
        <f aca="false">MAX(0,Penalty!$B$4-SUMIFS(Penalty!$C$10:$C$12,Penalty!$B$10:$B$12,"&lt;"&amp;A971))</f>
        <v>12000</v>
      </c>
      <c r="D971" s="25" t="n">
        <f aca="false">IF(A971&lt;=Penalty!$B$8,C971+F970+IF(A971&gt;Penalty!$B$19,Penalty!$I$5,0)+G970,0)</f>
        <v>0</v>
      </c>
      <c r="E971" s="26" t="n">
        <f aca="false">D971*B971/365</f>
        <v>0</v>
      </c>
      <c r="F971" s="25" t="n">
        <f aca="false">F970+E971*(1-IF(D971&gt;0,(IF(A971&gt;Penalty!$B$19,Penalty!$I$5,0)+G970)/D971,0))</f>
        <v>345.789278153858</v>
      </c>
      <c r="G971" s="25" t="n">
        <f aca="false">G970+E971*IF(D971&gt;0,(IF(A971&gt;Penalty!$B$19,Penalty!$I$5,0)+G970)/D971,0)</f>
        <v>46.6815525507708</v>
      </c>
    </row>
    <row r="972" customFormat="false" ht="15" hidden="false" customHeight="false" outlineLevel="0" collapsed="false">
      <c r="A972" s="23" t="n">
        <f aca="false">Penalty!$B$5+968</f>
        <v>47095</v>
      </c>
      <c r="B972" s="24" t="n">
        <f aca="false">IF(YEAR(A972)&gt;2026,Penalty!$B$16/100,IFERROR(INDEX(Rates!$B$4:$E$15,MATCH(YEAR(A972),Rates!$A$4:$A$15,0),ROUNDUP(MONTH(A972)/3,0))/100,0.03))</f>
        <v>0.07</v>
      </c>
      <c r="C972" s="25" t="n">
        <f aca="false">MAX(0,Penalty!$B$4-SUMIFS(Penalty!$C$10:$C$12,Penalty!$B$10:$B$12,"&lt;"&amp;A972))</f>
        <v>12000</v>
      </c>
      <c r="D972" s="25" t="n">
        <f aca="false">IF(A972&lt;=Penalty!$B$8,C972+F971+IF(A972&gt;Penalty!$B$19,Penalty!$I$5,0)+G971,0)</f>
        <v>0</v>
      </c>
      <c r="E972" s="26" t="n">
        <f aca="false">D972*B972/365</f>
        <v>0</v>
      </c>
      <c r="F972" s="25" t="n">
        <f aca="false">F971+E972*(1-IF(D972&gt;0,(IF(A972&gt;Penalty!$B$19,Penalty!$I$5,0)+G971)/D972,0))</f>
        <v>345.789278153858</v>
      </c>
      <c r="G972" s="25" t="n">
        <f aca="false">G971+E972*IF(D972&gt;0,(IF(A972&gt;Penalty!$B$19,Penalty!$I$5,0)+G971)/D972,0)</f>
        <v>46.6815525507708</v>
      </c>
    </row>
    <row r="973" customFormat="false" ht="15" hidden="false" customHeight="false" outlineLevel="0" collapsed="false">
      <c r="A973" s="23" t="n">
        <f aca="false">Penalty!$B$5+969</f>
        <v>47096</v>
      </c>
      <c r="B973" s="24" t="n">
        <f aca="false">IF(YEAR(A973)&gt;2026,Penalty!$B$16/100,IFERROR(INDEX(Rates!$B$4:$E$15,MATCH(YEAR(A973),Rates!$A$4:$A$15,0),ROUNDUP(MONTH(A973)/3,0))/100,0.03))</f>
        <v>0.07</v>
      </c>
      <c r="C973" s="25" t="n">
        <f aca="false">MAX(0,Penalty!$B$4-SUMIFS(Penalty!$C$10:$C$12,Penalty!$B$10:$B$12,"&lt;"&amp;A973))</f>
        <v>12000</v>
      </c>
      <c r="D973" s="25" t="n">
        <f aca="false">IF(A973&lt;=Penalty!$B$8,C973+F972+IF(A973&gt;Penalty!$B$19,Penalty!$I$5,0)+G972,0)</f>
        <v>0</v>
      </c>
      <c r="E973" s="26" t="n">
        <f aca="false">D973*B973/365</f>
        <v>0</v>
      </c>
      <c r="F973" s="25" t="n">
        <f aca="false">F972+E973*(1-IF(D973&gt;0,(IF(A973&gt;Penalty!$B$19,Penalty!$I$5,0)+G972)/D973,0))</f>
        <v>345.789278153858</v>
      </c>
      <c r="G973" s="25" t="n">
        <f aca="false">G972+E973*IF(D973&gt;0,(IF(A973&gt;Penalty!$B$19,Penalty!$I$5,0)+G972)/D973,0)</f>
        <v>46.6815525507708</v>
      </c>
    </row>
    <row r="974" customFormat="false" ht="15" hidden="false" customHeight="false" outlineLevel="0" collapsed="false">
      <c r="A974" s="23" t="n">
        <f aca="false">Penalty!$B$5+970</f>
        <v>47097</v>
      </c>
      <c r="B974" s="24" t="n">
        <f aca="false">IF(YEAR(A974)&gt;2026,Penalty!$B$16/100,IFERROR(INDEX(Rates!$B$4:$E$15,MATCH(YEAR(A974),Rates!$A$4:$A$15,0),ROUNDUP(MONTH(A974)/3,0))/100,0.03))</f>
        <v>0.07</v>
      </c>
      <c r="C974" s="25" t="n">
        <f aca="false">MAX(0,Penalty!$B$4-SUMIFS(Penalty!$C$10:$C$12,Penalty!$B$10:$B$12,"&lt;"&amp;A974))</f>
        <v>12000</v>
      </c>
      <c r="D974" s="25" t="n">
        <f aca="false">IF(A974&lt;=Penalty!$B$8,C974+F973+IF(A974&gt;Penalty!$B$19,Penalty!$I$5,0)+G973,0)</f>
        <v>0</v>
      </c>
      <c r="E974" s="26" t="n">
        <f aca="false">D974*B974/365</f>
        <v>0</v>
      </c>
      <c r="F974" s="25" t="n">
        <f aca="false">F973+E974*(1-IF(D974&gt;0,(IF(A974&gt;Penalty!$B$19,Penalty!$I$5,0)+G973)/D974,0))</f>
        <v>345.789278153858</v>
      </c>
      <c r="G974" s="25" t="n">
        <f aca="false">G973+E974*IF(D974&gt;0,(IF(A974&gt;Penalty!$B$19,Penalty!$I$5,0)+G973)/D974,0)</f>
        <v>46.6815525507708</v>
      </c>
    </row>
    <row r="975" customFormat="false" ht="15" hidden="false" customHeight="false" outlineLevel="0" collapsed="false">
      <c r="A975" s="23" t="n">
        <f aca="false">Penalty!$B$5+971</f>
        <v>47098</v>
      </c>
      <c r="B975" s="24" t="n">
        <f aca="false">IF(YEAR(A975)&gt;2026,Penalty!$B$16/100,IFERROR(INDEX(Rates!$B$4:$E$15,MATCH(YEAR(A975),Rates!$A$4:$A$15,0),ROUNDUP(MONTH(A975)/3,0))/100,0.03))</f>
        <v>0.07</v>
      </c>
      <c r="C975" s="25" t="n">
        <f aca="false">MAX(0,Penalty!$B$4-SUMIFS(Penalty!$C$10:$C$12,Penalty!$B$10:$B$12,"&lt;"&amp;A975))</f>
        <v>12000</v>
      </c>
      <c r="D975" s="25" t="n">
        <f aca="false">IF(A975&lt;=Penalty!$B$8,C975+F974+IF(A975&gt;Penalty!$B$19,Penalty!$I$5,0)+G974,0)</f>
        <v>0</v>
      </c>
      <c r="E975" s="26" t="n">
        <f aca="false">D975*B975/365</f>
        <v>0</v>
      </c>
      <c r="F975" s="25" t="n">
        <f aca="false">F974+E975*(1-IF(D975&gt;0,(IF(A975&gt;Penalty!$B$19,Penalty!$I$5,0)+G974)/D975,0))</f>
        <v>345.789278153858</v>
      </c>
      <c r="G975" s="25" t="n">
        <f aca="false">G974+E975*IF(D975&gt;0,(IF(A975&gt;Penalty!$B$19,Penalty!$I$5,0)+G974)/D975,0)</f>
        <v>46.6815525507708</v>
      </c>
    </row>
    <row r="976" customFormat="false" ht="15" hidden="false" customHeight="false" outlineLevel="0" collapsed="false">
      <c r="A976" s="23" t="n">
        <f aca="false">Penalty!$B$5+972</f>
        <v>47099</v>
      </c>
      <c r="B976" s="24" t="n">
        <f aca="false">IF(YEAR(A976)&gt;2026,Penalty!$B$16/100,IFERROR(INDEX(Rates!$B$4:$E$15,MATCH(YEAR(A976),Rates!$A$4:$A$15,0),ROUNDUP(MONTH(A976)/3,0))/100,0.03))</f>
        <v>0.07</v>
      </c>
      <c r="C976" s="25" t="n">
        <f aca="false">MAX(0,Penalty!$B$4-SUMIFS(Penalty!$C$10:$C$12,Penalty!$B$10:$B$12,"&lt;"&amp;A976))</f>
        <v>12000</v>
      </c>
      <c r="D976" s="25" t="n">
        <f aca="false">IF(A976&lt;=Penalty!$B$8,C976+F975+IF(A976&gt;Penalty!$B$19,Penalty!$I$5,0)+G975,0)</f>
        <v>0</v>
      </c>
      <c r="E976" s="26" t="n">
        <f aca="false">D976*B976/365</f>
        <v>0</v>
      </c>
      <c r="F976" s="25" t="n">
        <f aca="false">F975+E976*(1-IF(D976&gt;0,(IF(A976&gt;Penalty!$B$19,Penalty!$I$5,0)+G975)/D976,0))</f>
        <v>345.789278153858</v>
      </c>
      <c r="G976" s="25" t="n">
        <f aca="false">G975+E976*IF(D976&gt;0,(IF(A976&gt;Penalty!$B$19,Penalty!$I$5,0)+G975)/D976,0)</f>
        <v>46.6815525507708</v>
      </c>
    </row>
    <row r="977" customFormat="false" ht="15" hidden="false" customHeight="false" outlineLevel="0" collapsed="false">
      <c r="A977" s="23" t="n">
        <f aca="false">Penalty!$B$5+973</f>
        <v>47100</v>
      </c>
      <c r="B977" s="24" t="n">
        <f aca="false">IF(YEAR(A977)&gt;2026,Penalty!$B$16/100,IFERROR(INDEX(Rates!$B$4:$E$15,MATCH(YEAR(A977),Rates!$A$4:$A$15,0),ROUNDUP(MONTH(A977)/3,0))/100,0.03))</f>
        <v>0.07</v>
      </c>
      <c r="C977" s="25" t="n">
        <f aca="false">MAX(0,Penalty!$B$4-SUMIFS(Penalty!$C$10:$C$12,Penalty!$B$10:$B$12,"&lt;"&amp;A977))</f>
        <v>12000</v>
      </c>
      <c r="D977" s="25" t="n">
        <f aca="false">IF(A977&lt;=Penalty!$B$8,C977+F976+IF(A977&gt;Penalty!$B$19,Penalty!$I$5,0)+G976,0)</f>
        <v>0</v>
      </c>
      <c r="E977" s="26" t="n">
        <f aca="false">D977*B977/365</f>
        <v>0</v>
      </c>
      <c r="F977" s="25" t="n">
        <f aca="false">F976+E977*(1-IF(D977&gt;0,(IF(A977&gt;Penalty!$B$19,Penalty!$I$5,0)+G976)/D977,0))</f>
        <v>345.789278153858</v>
      </c>
      <c r="G977" s="25" t="n">
        <f aca="false">G976+E977*IF(D977&gt;0,(IF(A977&gt;Penalty!$B$19,Penalty!$I$5,0)+G976)/D977,0)</f>
        <v>46.6815525507708</v>
      </c>
    </row>
    <row r="978" customFormat="false" ht="15" hidden="false" customHeight="false" outlineLevel="0" collapsed="false">
      <c r="A978" s="23" t="n">
        <f aca="false">Penalty!$B$5+974</f>
        <v>47101</v>
      </c>
      <c r="B978" s="24" t="n">
        <f aca="false">IF(YEAR(A978)&gt;2026,Penalty!$B$16/100,IFERROR(INDEX(Rates!$B$4:$E$15,MATCH(YEAR(A978),Rates!$A$4:$A$15,0),ROUNDUP(MONTH(A978)/3,0))/100,0.03))</f>
        <v>0.07</v>
      </c>
      <c r="C978" s="25" t="n">
        <f aca="false">MAX(0,Penalty!$B$4-SUMIFS(Penalty!$C$10:$C$12,Penalty!$B$10:$B$12,"&lt;"&amp;A978))</f>
        <v>12000</v>
      </c>
      <c r="D978" s="25" t="n">
        <f aca="false">IF(A978&lt;=Penalty!$B$8,C978+F977+IF(A978&gt;Penalty!$B$19,Penalty!$I$5,0)+G977,0)</f>
        <v>0</v>
      </c>
      <c r="E978" s="26" t="n">
        <f aca="false">D978*B978/365</f>
        <v>0</v>
      </c>
      <c r="F978" s="25" t="n">
        <f aca="false">F977+E978*(1-IF(D978&gt;0,(IF(A978&gt;Penalty!$B$19,Penalty!$I$5,0)+G977)/D978,0))</f>
        <v>345.789278153858</v>
      </c>
      <c r="G978" s="25" t="n">
        <f aca="false">G977+E978*IF(D978&gt;0,(IF(A978&gt;Penalty!$B$19,Penalty!$I$5,0)+G977)/D978,0)</f>
        <v>46.6815525507708</v>
      </c>
    </row>
    <row r="979" customFormat="false" ht="15" hidden="false" customHeight="false" outlineLevel="0" collapsed="false">
      <c r="A979" s="23" t="n">
        <f aca="false">Penalty!$B$5+975</f>
        <v>47102</v>
      </c>
      <c r="B979" s="24" t="n">
        <f aca="false">IF(YEAR(A979)&gt;2026,Penalty!$B$16/100,IFERROR(INDEX(Rates!$B$4:$E$15,MATCH(YEAR(A979),Rates!$A$4:$A$15,0),ROUNDUP(MONTH(A979)/3,0))/100,0.03))</f>
        <v>0.07</v>
      </c>
      <c r="C979" s="25" t="n">
        <f aca="false">MAX(0,Penalty!$B$4-SUMIFS(Penalty!$C$10:$C$12,Penalty!$B$10:$B$12,"&lt;"&amp;A979))</f>
        <v>12000</v>
      </c>
      <c r="D979" s="25" t="n">
        <f aca="false">IF(A979&lt;=Penalty!$B$8,C979+F978+IF(A979&gt;Penalty!$B$19,Penalty!$I$5,0)+G978,0)</f>
        <v>0</v>
      </c>
      <c r="E979" s="26" t="n">
        <f aca="false">D979*B979/365</f>
        <v>0</v>
      </c>
      <c r="F979" s="25" t="n">
        <f aca="false">F978+E979*(1-IF(D979&gt;0,(IF(A979&gt;Penalty!$B$19,Penalty!$I$5,0)+G978)/D979,0))</f>
        <v>345.789278153858</v>
      </c>
      <c r="G979" s="25" t="n">
        <f aca="false">G978+E979*IF(D979&gt;0,(IF(A979&gt;Penalty!$B$19,Penalty!$I$5,0)+G978)/D979,0)</f>
        <v>46.6815525507708</v>
      </c>
    </row>
    <row r="980" customFormat="false" ht="15" hidden="false" customHeight="false" outlineLevel="0" collapsed="false">
      <c r="A980" s="23" t="n">
        <f aca="false">Penalty!$B$5+976</f>
        <v>47103</v>
      </c>
      <c r="B980" s="24" t="n">
        <f aca="false">IF(YEAR(A980)&gt;2026,Penalty!$B$16/100,IFERROR(INDEX(Rates!$B$4:$E$15,MATCH(YEAR(A980),Rates!$A$4:$A$15,0),ROUNDUP(MONTH(A980)/3,0))/100,0.03))</f>
        <v>0.07</v>
      </c>
      <c r="C980" s="25" t="n">
        <f aca="false">MAX(0,Penalty!$B$4-SUMIFS(Penalty!$C$10:$C$12,Penalty!$B$10:$B$12,"&lt;"&amp;A980))</f>
        <v>12000</v>
      </c>
      <c r="D980" s="25" t="n">
        <f aca="false">IF(A980&lt;=Penalty!$B$8,C980+F979+IF(A980&gt;Penalty!$B$19,Penalty!$I$5,0)+G979,0)</f>
        <v>0</v>
      </c>
      <c r="E980" s="26" t="n">
        <f aca="false">D980*B980/365</f>
        <v>0</v>
      </c>
      <c r="F980" s="25" t="n">
        <f aca="false">F979+E980*(1-IF(D980&gt;0,(IF(A980&gt;Penalty!$B$19,Penalty!$I$5,0)+G979)/D980,0))</f>
        <v>345.789278153858</v>
      </c>
      <c r="G980" s="25" t="n">
        <f aca="false">G979+E980*IF(D980&gt;0,(IF(A980&gt;Penalty!$B$19,Penalty!$I$5,0)+G979)/D980,0)</f>
        <v>46.6815525507708</v>
      </c>
    </row>
    <row r="981" customFormat="false" ht="15" hidden="false" customHeight="false" outlineLevel="0" collapsed="false">
      <c r="A981" s="23" t="n">
        <f aca="false">Penalty!$B$5+977</f>
        <v>47104</v>
      </c>
      <c r="B981" s="24" t="n">
        <f aca="false">IF(YEAR(A981)&gt;2026,Penalty!$B$16/100,IFERROR(INDEX(Rates!$B$4:$E$15,MATCH(YEAR(A981),Rates!$A$4:$A$15,0),ROUNDUP(MONTH(A981)/3,0))/100,0.03))</f>
        <v>0.07</v>
      </c>
      <c r="C981" s="25" t="n">
        <f aca="false">MAX(0,Penalty!$B$4-SUMIFS(Penalty!$C$10:$C$12,Penalty!$B$10:$B$12,"&lt;"&amp;A981))</f>
        <v>12000</v>
      </c>
      <c r="D981" s="25" t="n">
        <f aca="false">IF(A981&lt;=Penalty!$B$8,C981+F980+IF(A981&gt;Penalty!$B$19,Penalty!$I$5,0)+G980,0)</f>
        <v>0</v>
      </c>
      <c r="E981" s="26" t="n">
        <f aca="false">D981*B981/365</f>
        <v>0</v>
      </c>
      <c r="F981" s="25" t="n">
        <f aca="false">F980+E981*(1-IF(D981&gt;0,(IF(A981&gt;Penalty!$B$19,Penalty!$I$5,0)+G980)/D981,0))</f>
        <v>345.789278153858</v>
      </c>
      <c r="G981" s="25" t="n">
        <f aca="false">G980+E981*IF(D981&gt;0,(IF(A981&gt;Penalty!$B$19,Penalty!$I$5,0)+G980)/D981,0)</f>
        <v>46.6815525507708</v>
      </c>
    </row>
    <row r="982" customFormat="false" ht="15" hidden="false" customHeight="false" outlineLevel="0" collapsed="false">
      <c r="A982" s="23" t="n">
        <f aca="false">Penalty!$B$5+978</f>
        <v>47105</v>
      </c>
      <c r="B982" s="24" t="n">
        <f aca="false">IF(YEAR(A982)&gt;2026,Penalty!$B$16/100,IFERROR(INDEX(Rates!$B$4:$E$15,MATCH(YEAR(A982),Rates!$A$4:$A$15,0),ROUNDUP(MONTH(A982)/3,0))/100,0.03))</f>
        <v>0.07</v>
      </c>
      <c r="C982" s="25" t="n">
        <f aca="false">MAX(0,Penalty!$B$4-SUMIFS(Penalty!$C$10:$C$12,Penalty!$B$10:$B$12,"&lt;"&amp;A982))</f>
        <v>12000</v>
      </c>
      <c r="D982" s="25" t="n">
        <f aca="false">IF(A982&lt;=Penalty!$B$8,C982+F981+IF(A982&gt;Penalty!$B$19,Penalty!$I$5,0)+G981,0)</f>
        <v>0</v>
      </c>
      <c r="E982" s="26" t="n">
        <f aca="false">D982*B982/365</f>
        <v>0</v>
      </c>
      <c r="F982" s="25" t="n">
        <f aca="false">F981+E982*(1-IF(D982&gt;0,(IF(A982&gt;Penalty!$B$19,Penalty!$I$5,0)+G981)/D982,0))</f>
        <v>345.789278153858</v>
      </c>
      <c r="G982" s="25" t="n">
        <f aca="false">G981+E982*IF(D982&gt;0,(IF(A982&gt;Penalty!$B$19,Penalty!$I$5,0)+G981)/D982,0)</f>
        <v>46.6815525507708</v>
      </c>
    </row>
    <row r="983" customFormat="false" ht="15" hidden="false" customHeight="false" outlineLevel="0" collapsed="false">
      <c r="A983" s="23" t="n">
        <f aca="false">Penalty!$B$5+979</f>
        <v>47106</v>
      </c>
      <c r="B983" s="24" t="n">
        <f aca="false">IF(YEAR(A983)&gt;2026,Penalty!$B$16/100,IFERROR(INDEX(Rates!$B$4:$E$15,MATCH(YEAR(A983),Rates!$A$4:$A$15,0),ROUNDUP(MONTH(A983)/3,0))/100,0.03))</f>
        <v>0.07</v>
      </c>
      <c r="C983" s="25" t="n">
        <f aca="false">MAX(0,Penalty!$B$4-SUMIFS(Penalty!$C$10:$C$12,Penalty!$B$10:$B$12,"&lt;"&amp;A983))</f>
        <v>12000</v>
      </c>
      <c r="D983" s="25" t="n">
        <f aca="false">IF(A983&lt;=Penalty!$B$8,C983+F982+IF(A983&gt;Penalty!$B$19,Penalty!$I$5,0)+G982,0)</f>
        <v>0</v>
      </c>
      <c r="E983" s="26" t="n">
        <f aca="false">D983*B983/365</f>
        <v>0</v>
      </c>
      <c r="F983" s="25" t="n">
        <f aca="false">F982+E983*(1-IF(D983&gt;0,(IF(A983&gt;Penalty!$B$19,Penalty!$I$5,0)+G982)/D983,0))</f>
        <v>345.789278153858</v>
      </c>
      <c r="G983" s="25" t="n">
        <f aca="false">G982+E983*IF(D983&gt;0,(IF(A983&gt;Penalty!$B$19,Penalty!$I$5,0)+G982)/D983,0)</f>
        <v>46.6815525507708</v>
      </c>
    </row>
    <row r="984" customFormat="false" ht="15" hidden="false" customHeight="false" outlineLevel="0" collapsed="false">
      <c r="A984" s="23" t="n">
        <f aca="false">Penalty!$B$5+980</f>
        <v>47107</v>
      </c>
      <c r="B984" s="24" t="n">
        <f aca="false">IF(YEAR(A984)&gt;2026,Penalty!$B$16/100,IFERROR(INDEX(Rates!$B$4:$E$15,MATCH(YEAR(A984),Rates!$A$4:$A$15,0),ROUNDUP(MONTH(A984)/3,0))/100,0.03))</f>
        <v>0.07</v>
      </c>
      <c r="C984" s="25" t="n">
        <f aca="false">MAX(0,Penalty!$B$4-SUMIFS(Penalty!$C$10:$C$12,Penalty!$B$10:$B$12,"&lt;"&amp;A984))</f>
        <v>12000</v>
      </c>
      <c r="D984" s="25" t="n">
        <f aca="false">IF(A984&lt;=Penalty!$B$8,C984+F983+IF(A984&gt;Penalty!$B$19,Penalty!$I$5,0)+G983,0)</f>
        <v>0</v>
      </c>
      <c r="E984" s="26" t="n">
        <f aca="false">D984*B984/365</f>
        <v>0</v>
      </c>
      <c r="F984" s="25" t="n">
        <f aca="false">F983+E984*(1-IF(D984&gt;0,(IF(A984&gt;Penalty!$B$19,Penalty!$I$5,0)+G983)/D984,0))</f>
        <v>345.789278153858</v>
      </c>
      <c r="G984" s="25" t="n">
        <f aca="false">G983+E984*IF(D984&gt;0,(IF(A984&gt;Penalty!$B$19,Penalty!$I$5,0)+G983)/D984,0)</f>
        <v>46.6815525507708</v>
      </c>
    </row>
    <row r="985" customFormat="false" ht="15" hidden="false" customHeight="false" outlineLevel="0" collapsed="false">
      <c r="A985" s="23" t="n">
        <f aca="false">Penalty!$B$5+981</f>
        <v>47108</v>
      </c>
      <c r="B985" s="24" t="n">
        <f aca="false">IF(YEAR(A985)&gt;2026,Penalty!$B$16/100,IFERROR(INDEX(Rates!$B$4:$E$15,MATCH(YEAR(A985),Rates!$A$4:$A$15,0),ROUNDUP(MONTH(A985)/3,0))/100,0.03))</f>
        <v>0.07</v>
      </c>
      <c r="C985" s="25" t="n">
        <f aca="false">MAX(0,Penalty!$B$4-SUMIFS(Penalty!$C$10:$C$12,Penalty!$B$10:$B$12,"&lt;"&amp;A985))</f>
        <v>12000</v>
      </c>
      <c r="D985" s="25" t="n">
        <f aca="false">IF(A985&lt;=Penalty!$B$8,C985+F984+IF(A985&gt;Penalty!$B$19,Penalty!$I$5,0)+G984,0)</f>
        <v>0</v>
      </c>
      <c r="E985" s="26" t="n">
        <f aca="false">D985*B985/365</f>
        <v>0</v>
      </c>
      <c r="F985" s="25" t="n">
        <f aca="false">F984+E985*(1-IF(D985&gt;0,(IF(A985&gt;Penalty!$B$19,Penalty!$I$5,0)+G984)/D985,0))</f>
        <v>345.789278153858</v>
      </c>
      <c r="G985" s="25" t="n">
        <f aca="false">G984+E985*IF(D985&gt;0,(IF(A985&gt;Penalty!$B$19,Penalty!$I$5,0)+G984)/D985,0)</f>
        <v>46.6815525507708</v>
      </c>
    </row>
    <row r="986" customFormat="false" ht="15" hidden="false" customHeight="false" outlineLevel="0" collapsed="false">
      <c r="A986" s="23" t="n">
        <f aca="false">Penalty!$B$5+982</f>
        <v>47109</v>
      </c>
      <c r="B986" s="24" t="n">
        <f aca="false">IF(YEAR(A986)&gt;2026,Penalty!$B$16/100,IFERROR(INDEX(Rates!$B$4:$E$15,MATCH(YEAR(A986),Rates!$A$4:$A$15,0),ROUNDUP(MONTH(A986)/3,0))/100,0.03))</f>
        <v>0.07</v>
      </c>
      <c r="C986" s="25" t="n">
        <f aca="false">MAX(0,Penalty!$B$4-SUMIFS(Penalty!$C$10:$C$12,Penalty!$B$10:$B$12,"&lt;"&amp;A986))</f>
        <v>12000</v>
      </c>
      <c r="D986" s="25" t="n">
        <f aca="false">IF(A986&lt;=Penalty!$B$8,C986+F985+IF(A986&gt;Penalty!$B$19,Penalty!$I$5,0)+G985,0)</f>
        <v>0</v>
      </c>
      <c r="E986" s="26" t="n">
        <f aca="false">D986*B986/365</f>
        <v>0</v>
      </c>
      <c r="F986" s="25" t="n">
        <f aca="false">F985+E986*(1-IF(D986&gt;0,(IF(A986&gt;Penalty!$B$19,Penalty!$I$5,0)+G985)/D986,0))</f>
        <v>345.789278153858</v>
      </c>
      <c r="G986" s="25" t="n">
        <f aca="false">G985+E986*IF(D986&gt;0,(IF(A986&gt;Penalty!$B$19,Penalty!$I$5,0)+G985)/D986,0)</f>
        <v>46.6815525507708</v>
      </c>
    </row>
    <row r="987" customFormat="false" ht="15" hidden="false" customHeight="false" outlineLevel="0" collapsed="false">
      <c r="A987" s="23" t="n">
        <f aca="false">Penalty!$B$5+983</f>
        <v>47110</v>
      </c>
      <c r="B987" s="24" t="n">
        <f aca="false">IF(YEAR(A987)&gt;2026,Penalty!$B$16/100,IFERROR(INDEX(Rates!$B$4:$E$15,MATCH(YEAR(A987),Rates!$A$4:$A$15,0),ROUNDUP(MONTH(A987)/3,0))/100,0.03))</f>
        <v>0.07</v>
      </c>
      <c r="C987" s="25" t="n">
        <f aca="false">MAX(0,Penalty!$B$4-SUMIFS(Penalty!$C$10:$C$12,Penalty!$B$10:$B$12,"&lt;"&amp;A987))</f>
        <v>12000</v>
      </c>
      <c r="D987" s="25" t="n">
        <f aca="false">IF(A987&lt;=Penalty!$B$8,C987+F986+IF(A987&gt;Penalty!$B$19,Penalty!$I$5,0)+G986,0)</f>
        <v>0</v>
      </c>
      <c r="E987" s="26" t="n">
        <f aca="false">D987*B987/365</f>
        <v>0</v>
      </c>
      <c r="F987" s="25" t="n">
        <f aca="false">F986+E987*(1-IF(D987&gt;0,(IF(A987&gt;Penalty!$B$19,Penalty!$I$5,0)+G986)/D987,0))</f>
        <v>345.789278153858</v>
      </c>
      <c r="G987" s="25" t="n">
        <f aca="false">G986+E987*IF(D987&gt;0,(IF(A987&gt;Penalty!$B$19,Penalty!$I$5,0)+G986)/D987,0)</f>
        <v>46.6815525507708</v>
      </c>
    </row>
    <row r="988" customFormat="false" ht="15" hidden="false" customHeight="false" outlineLevel="0" collapsed="false">
      <c r="A988" s="23" t="n">
        <f aca="false">Penalty!$B$5+984</f>
        <v>47111</v>
      </c>
      <c r="B988" s="24" t="n">
        <f aca="false">IF(YEAR(A988)&gt;2026,Penalty!$B$16/100,IFERROR(INDEX(Rates!$B$4:$E$15,MATCH(YEAR(A988),Rates!$A$4:$A$15,0),ROUNDUP(MONTH(A988)/3,0))/100,0.03))</f>
        <v>0.07</v>
      </c>
      <c r="C988" s="25" t="n">
        <f aca="false">MAX(0,Penalty!$B$4-SUMIFS(Penalty!$C$10:$C$12,Penalty!$B$10:$B$12,"&lt;"&amp;A988))</f>
        <v>12000</v>
      </c>
      <c r="D988" s="25" t="n">
        <f aca="false">IF(A988&lt;=Penalty!$B$8,C988+F987+IF(A988&gt;Penalty!$B$19,Penalty!$I$5,0)+G987,0)</f>
        <v>0</v>
      </c>
      <c r="E988" s="26" t="n">
        <f aca="false">D988*B988/365</f>
        <v>0</v>
      </c>
      <c r="F988" s="25" t="n">
        <f aca="false">F987+E988*(1-IF(D988&gt;0,(IF(A988&gt;Penalty!$B$19,Penalty!$I$5,0)+G987)/D988,0))</f>
        <v>345.789278153858</v>
      </c>
      <c r="G988" s="25" t="n">
        <f aca="false">G987+E988*IF(D988&gt;0,(IF(A988&gt;Penalty!$B$19,Penalty!$I$5,0)+G987)/D988,0)</f>
        <v>46.6815525507708</v>
      </c>
    </row>
    <row r="989" customFormat="false" ht="15" hidden="false" customHeight="false" outlineLevel="0" collapsed="false">
      <c r="A989" s="23" t="n">
        <f aca="false">Penalty!$B$5+985</f>
        <v>47112</v>
      </c>
      <c r="B989" s="24" t="n">
        <f aca="false">IF(YEAR(A989)&gt;2026,Penalty!$B$16/100,IFERROR(INDEX(Rates!$B$4:$E$15,MATCH(YEAR(A989),Rates!$A$4:$A$15,0),ROUNDUP(MONTH(A989)/3,0))/100,0.03))</f>
        <v>0.07</v>
      </c>
      <c r="C989" s="25" t="n">
        <f aca="false">MAX(0,Penalty!$B$4-SUMIFS(Penalty!$C$10:$C$12,Penalty!$B$10:$B$12,"&lt;"&amp;A989))</f>
        <v>12000</v>
      </c>
      <c r="D989" s="25" t="n">
        <f aca="false">IF(A989&lt;=Penalty!$B$8,C989+F988+IF(A989&gt;Penalty!$B$19,Penalty!$I$5,0)+G988,0)</f>
        <v>0</v>
      </c>
      <c r="E989" s="26" t="n">
        <f aca="false">D989*B989/365</f>
        <v>0</v>
      </c>
      <c r="F989" s="25" t="n">
        <f aca="false">F988+E989*(1-IF(D989&gt;0,(IF(A989&gt;Penalty!$B$19,Penalty!$I$5,0)+G988)/D989,0))</f>
        <v>345.789278153858</v>
      </c>
      <c r="G989" s="25" t="n">
        <f aca="false">G988+E989*IF(D989&gt;0,(IF(A989&gt;Penalty!$B$19,Penalty!$I$5,0)+G988)/D989,0)</f>
        <v>46.6815525507708</v>
      </c>
    </row>
    <row r="990" customFormat="false" ht="15" hidden="false" customHeight="false" outlineLevel="0" collapsed="false">
      <c r="A990" s="23" t="n">
        <f aca="false">Penalty!$B$5+986</f>
        <v>47113</v>
      </c>
      <c r="B990" s="24" t="n">
        <f aca="false">IF(YEAR(A990)&gt;2026,Penalty!$B$16/100,IFERROR(INDEX(Rates!$B$4:$E$15,MATCH(YEAR(A990),Rates!$A$4:$A$15,0),ROUNDUP(MONTH(A990)/3,0))/100,0.03))</f>
        <v>0.07</v>
      </c>
      <c r="C990" s="25" t="n">
        <f aca="false">MAX(0,Penalty!$B$4-SUMIFS(Penalty!$C$10:$C$12,Penalty!$B$10:$B$12,"&lt;"&amp;A990))</f>
        <v>12000</v>
      </c>
      <c r="D990" s="25" t="n">
        <f aca="false">IF(A990&lt;=Penalty!$B$8,C990+F989+IF(A990&gt;Penalty!$B$19,Penalty!$I$5,0)+G989,0)</f>
        <v>0</v>
      </c>
      <c r="E990" s="26" t="n">
        <f aca="false">D990*B990/365</f>
        <v>0</v>
      </c>
      <c r="F990" s="25" t="n">
        <f aca="false">F989+E990*(1-IF(D990&gt;0,(IF(A990&gt;Penalty!$B$19,Penalty!$I$5,0)+G989)/D990,0))</f>
        <v>345.789278153858</v>
      </c>
      <c r="G990" s="25" t="n">
        <f aca="false">G989+E990*IF(D990&gt;0,(IF(A990&gt;Penalty!$B$19,Penalty!$I$5,0)+G989)/D990,0)</f>
        <v>46.6815525507708</v>
      </c>
    </row>
    <row r="991" customFormat="false" ht="15" hidden="false" customHeight="false" outlineLevel="0" collapsed="false">
      <c r="A991" s="23" t="n">
        <f aca="false">Penalty!$B$5+987</f>
        <v>47114</v>
      </c>
      <c r="B991" s="24" t="n">
        <f aca="false">IF(YEAR(A991)&gt;2026,Penalty!$B$16/100,IFERROR(INDEX(Rates!$B$4:$E$15,MATCH(YEAR(A991),Rates!$A$4:$A$15,0),ROUNDUP(MONTH(A991)/3,0))/100,0.03))</f>
        <v>0.07</v>
      </c>
      <c r="C991" s="25" t="n">
        <f aca="false">MAX(0,Penalty!$B$4-SUMIFS(Penalty!$C$10:$C$12,Penalty!$B$10:$B$12,"&lt;"&amp;A991))</f>
        <v>12000</v>
      </c>
      <c r="D991" s="25" t="n">
        <f aca="false">IF(A991&lt;=Penalty!$B$8,C991+F990+IF(A991&gt;Penalty!$B$19,Penalty!$I$5,0)+G990,0)</f>
        <v>0</v>
      </c>
      <c r="E991" s="26" t="n">
        <f aca="false">D991*B991/365</f>
        <v>0</v>
      </c>
      <c r="F991" s="25" t="n">
        <f aca="false">F990+E991*(1-IF(D991&gt;0,(IF(A991&gt;Penalty!$B$19,Penalty!$I$5,0)+G990)/D991,0))</f>
        <v>345.789278153858</v>
      </c>
      <c r="G991" s="25" t="n">
        <f aca="false">G990+E991*IF(D991&gt;0,(IF(A991&gt;Penalty!$B$19,Penalty!$I$5,0)+G990)/D991,0)</f>
        <v>46.6815525507708</v>
      </c>
    </row>
    <row r="992" customFormat="false" ht="15" hidden="false" customHeight="false" outlineLevel="0" collapsed="false">
      <c r="A992" s="23" t="n">
        <f aca="false">Penalty!$B$5+988</f>
        <v>47115</v>
      </c>
      <c r="B992" s="24" t="n">
        <f aca="false">IF(YEAR(A992)&gt;2026,Penalty!$B$16/100,IFERROR(INDEX(Rates!$B$4:$E$15,MATCH(YEAR(A992),Rates!$A$4:$A$15,0),ROUNDUP(MONTH(A992)/3,0))/100,0.03))</f>
        <v>0.07</v>
      </c>
      <c r="C992" s="25" t="n">
        <f aca="false">MAX(0,Penalty!$B$4-SUMIFS(Penalty!$C$10:$C$12,Penalty!$B$10:$B$12,"&lt;"&amp;A992))</f>
        <v>12000</v>
      </c>
      <c r="D992" s="25" t="n">
        <f aca="false">IF(A992&lt;=Penalty!$B$8,C992+F991+IF(A992&gt;Penalty!$B$19,Penalty!$I$5,0)+G991,0)</f>
        <v>0</v>
      </c>
      <c r="E992" s="26" t="n">
        <f aca="false">D992*B992/365</f>
        <v>0</v>
      </c>
      <c r="F992" s="25" t="n">
        <f aca="false">F991+E992*(1-IF(D992&gt;0,(IF(A992&gt;Penalty!$B$19,Penalty!$I$5,0)+G991)/D992,0))</f>
        <v>345.789278153858</v>
      </c>
      <c r="G992" s="25" t="n">
        <f aca="false">G991+E992*IF(D992&gt;0,(IF(A992&gt;Penalty!$B$19,Penalty!$I$5,0)+G991)/D992,0)</f>
        <v>46.6815525507708</v>
      </c>
    </row>
    <row r="993" customFormat="false" ht="15" hidden="false" customHeight="false" outlineLevel="0" collapsed="false">
      <c r="A993" s="23" t="n">
        <f aca="false">Penalty!$B$5+989</f>
        <v>47116</v>
      </c>
      <c r="B993" s="24" t="n">
        <f aca="false">IF(YEAR(A993)&gt;2026,Penalty!$B$16/100,IFERROR(INDEX(Rates!$B$4:$E$15,MATCH(YEAR(A993),Rates!$A$4:$A$15,0),ROUNDUP(MONTH(A993)/3,0))/100,0.03))</f>
        <v>0.07</v>
      </c>
      <c r="C993" s="25" t="n">
        <f aca="false">MAX(0,Penalty!$B$4-SUMIFS(Penalty!$C$10:$C$12,Penalty!$B$10:$B$12,"&lt;"&amp;A993))</f>
        <v>12000</v>
      </c>
      <c r="D993" s="25" t="n">
        <f aca="false">IF(A993&lt;=Penalty!$B$8,C993+F992+IF(A993&gt;Penalty!$B$19,Penalty!$I$5,0)+G992,0)</f>
        <v>0</v>
      </c>
      <c r="E993" s="26" t="n">
        <f aca="false">D993*B993/365</f>
        <v>0</v>
      </c>
      <c r="F993" s="25" t="n">
        <f aca="false">F992+E993*(1-IF(D993&gt;0,(IF(A993&gt;Penalty!$B$19,Penalty!$I$5,0)+G992)/D993,0))</f>
        <v>345.789278153858</v>
      </c>
      <c r="G993" s="25" t="n">
        <f aca="false">G992+E993*IF(D993&gt;0,(IF(A993&gt;Penalty!$B$19,Penalty!$I$5,0)+G992)/D993,0)</f>
        <v>46.6815525507708</v>
      </c>
    </row>
    <row r="994" customFormat="false" ht="15" hidden="false" customHeight="false" outlineLevel="0" collapsed="false">
      <c r="A994" s="23" t="n">
        <f aca="false">Penalty!$B$5+990</f>
        <v>47117</v>
      </c>
      <c r="B994" s="24" t="n">
        <f aca="false">IF(YEAR(A994)&gt;2026,Penalty!$B$16/100,IFERROR(INDEX(Rates!$B$4:$E$15,MATCH(YEAR(A994),Rates!$A$4:$A$15,0),ROUNDUP(MONTH(A994)/3,0))/100,0.03))</f>
        <v>0.07</v>
      </c>
      <c r="C994" s="25" t="n">
        <f aca="false">MAX(0,Penalty!$B$4-SUMIFS(Penalty!$C$10:$C$12,Penalty!$B$10:$B$12,"&lt;"&amp;A994))</f>
        <v>12000</v>
      </c>
      <c r="D994" s="25" t="n">
        <f aca="false">IF(A994&lt;=Penalty!$B$8,C994+F993+IF(A994&gt;Penalty!$B$19,Penalty!$I$5,0)+G993,0)</f>
        <v>0</v>
      </c>
      <c r="E994" s="26" t="n">
        <f aca="false">D994*B994/365</f>
        <v>0</v>
      </c>
      <c r="F994" s="25" t="n">
        <f aca="false">F993+E994*(1-IF(D994&gt;0,(IF(A994&gt;Penalty!$B$19,Penalty!$I$5,0)+G993)/D994,0))</f>
        <v>345.789278153858</v>
      </c>
      <c r="G994" s="25" t="n">
        <f aca="false">G993+E994*IF(D994&gt;0,(IF(A994&gt;Penalty!$B$19,Penalty!$I$5,0)+G993)/D994,0)</f>
        <v>46.6815525507708</v>
      </c>
    </row>
    <row r="995" customFormat="false" ht="15" hidden="false" customHeight="false" outlineLevel="0" collapsed="false">
      <c r="A995" s="23" t="n">
        <f aca="false">Penalty!$B$5+991</f>
        <v>47118</v>
      </c>
      <c r="B995" s="24" t="n">
        <f aca="false">IF(YEAR(A995)&gt;2026,Penalty!$B$16/100,IFERROR(INDEX(Rates!$B$4:$E$15,MATCH(YEAR(A995),Rates!$A$4:$A$15,0),ROUNDUP(MONTH(A995)/3,0))/100,0.03))</f>
        <v>0.07</v>
      </c>
      <c r="C995" s="25" t="n">
        <f aca="false">MAX(0,Penalty!$B$4-SUMIFS(Penalty!$C$10:$C$12,Penalty!$B$10:$B$12,"&lt;"&amp;A995))</f>
        <v>12000</v>
      </c>
      <c r="D995" s="25" t="n">
        <f aca="false">IF(A995&lt;=Penalty!$B$8,C995+F994+IF(A995&gt;Penalty!$B$19,Penalty!$I$5,0)+G994,0)</f>
        <v>0</v>
      </c>
      <c r="E995" s="26" t="n">
        <f aca="false">D995*B995/365</f>
        <v>0</v>
      </c>
      <c r="F995" s="25" t="n">
        <f aca="false">F994+E995*(1-IF(D995&gt;0,(IF(A995&gt;Penalty!$B$19,Penalty!$I$5,0)+G994)/D995,0))</f>
        <v>345.789278153858</v>
      </c>
      <c r="G995" s="25" t="n">
        <f aca="false">G994+E995*IF(D995&gt;0,(IF(A995&gt;Penalty!$B$19,Penalty!$I$5,0)+G994)/D995,0)</f>
        <v>46.6815525507708</v>
      </c>
    </row>
    <row r="996" customFormat="false" ht="15" hidden="false" customHeight="false" outlineLevel="0" collapsed="false">
      <c r="A996" s="23" t="n">
        <f aca="false">Penalty!$B$5+992</f>
        <v>47119</v>
      </c>
      <c r="B996" s="24" t="n">
        <f aca="false">IF(YEAR(A996)&gt;2026,Penalty!$B$16/100,IFERROR(INDEX(Rates!$B$4:$E$15,MATCH(YEAR(A996),Rates!$A$4:$A$15,0),ROUNDUP(MONTH(A996)/3,0))/100,0.03))</f>
        <v>0.07</v>
      </c>
      <c r="C996" s="25" t="n">
        <f aca="false">MAX(0,Penalty!$B$4-SUMIFS(Penalty!$C$10:$C$12,Penalty!$B$10:$B$12,"&lt;"&amp;A996))</f>
        <v>12000</v>
      </c>
      <c r="D996" s="25" t="n">
        <f aca="false">IF(A996&lt;=Penalty!$B$8,C996+F995+IF(A996&gt;Penalty!$B$19,Penalty!$I$5,0)+G995,0)</f>
        <v>0</v>
      </c>
      <c r="E996" s="26" t="n">
        <f aca="false">D996*B996/365</f>
        <v>0</v>
      </c>
      <c r="F996" s="25" t="n">
        <f aca="false">F995+E996*(1-IF(D996&gt;0,(IF(A996&gt;Penalty!$B$19,Penalty!$I$5,0)+G995)/D996,0))</f>
        <v>345.789278153858</v>
      </c>
      <c r="G996" s="25" t="n">
        <f aca="false">G995+E996*IF(D996&gt;0,(IF(A996&gt;Penalty!$B$19,Penalty!$I$5,0)+G995)/D996,0)</f>
        <v>46.6815525507708</v>
      </c>
    </row>
    <row r="997" customFormat="false" ht="15" hidden="false" customHeight="false" outlineLevel="0" collapsed="false">
      <c r="A997" s="23" t="n">
        <f aca="false">Penalty!$B$5+993</f>
        <v>47120</v>
      </c>
      <c r="B997" s="24" t="n">
        <f aca="false">IF(YEAR(A997)&gt;2026,Penalty!$B$16/100,IFERROR(INDEX(Rates!$B$4:$E$15,MATCH(YEAR(A997),Rates!$A$4:$A$15,0),ROUNDUP(MONTH(A997)/3,0))/100,0.03))</f>
        <v>0.07</v>
      </c>
      <c r="C997" s="25" t="n">
        <f aca="false">MAX(0,Penalty!$B$4-SUMIFS(Penalty!$C$10:$C$12,Penalty!$B$10:$B$12,"&lt;"&amp;A997))</f>
        <v>12000</v>
      </c>
      <c r="D997" s="25" t="n">
        <f aca="false">IF(A997&lt;=Penalty!$B$8,C997+F996+IF(A997&gt;Penalty!$B$19,Penalty!$I$5,0)+G996,0)</f>
        <v>0</v>
      </c>
      <c r="E997" s="26" t="n">
        <f aca="false">D997*B997/365</f>
        <v>0</v>
      </c>
      <c r="F997" s="25" t="n">
        <f aca="false">F996+E997*(1-IF(D997&gt;0,(IF(A997&gt;Penalty!$B$19,Penalty!$I$5,0)+G996)/D997,0))</f>
        <v>345.789278153858</v>
      </c>
      <c r="G997" s="25" t="n">
        <f aca="false">G996+E997*IF(D997&gt;0,(IF(A997&gt;Penalty!$B$19,Penalty!$I$5,0)+G996)/D997,0)</f>
        <v>46.6815525507708</v>
      </c>
    </row>
    <row r="998" customFormat="false" ht="15" hidden="false" customHeight="false" outlineLevel="0" collapsed="false">
      <c r="A998" s="23" t="n">
        <f aca="false">Penalty!$B$5+994</f>
        <v>47121</v>
      </c>
      <c r="B998" s="24" t="n">
        <f aca="false">IF(YEAR(A998)&gt;2026,Penalty!$B$16/100,IFERROR(INDEX(Rates!$B$4:$E$15,MATCH(YEAR(A998),Rates!$A$4:$A$15,0),ROUNDUP(MONTH(A998)/3,0))/100,0.03))</f>
        <v>0.07</v>
      </c>
      <c r="C998" s="25" t="n">
        <f aca="false">MAX(0,Penalty!$B$4-SUMIFS(Penalty!$C$10:$C$12,Penalty!$B$10:$B$12,"&lt;"&amp;A998))</f>
        <v>12000</v>
      </c>
      <c r="D998" s="25" t="n">
        <f aca="false">IF(A998&lt;=Penalty!$B$8,C998+F997+IF(A998&gt;Penalty!$B$19,Penalty!$I$5,0)+G997,0)</f>
        <v>0</v>
      </c>
      <c r="E998" s="26" t="n">
        <f aca="false">D998*B998/365</f>
        <v>0</v>
      </c>
      <c r="F998" s="25" t="n">
        <f aca="false">F997+E998*(1-IF(D998&gt;0,(IF(A998&gt;Penalty!$B$19,Penalty!$I$5,0)+G997)/D998,0))</f>
        <v>345.789278153858</v>
      </c>
      <c r="G998" s="25" t="n">
        <f aca="false">G997+E998*IF(D998&gt;0,(IF(A998&gt;Penalty!$B$19,Penalty!$I$5,0)+G997)/D998,0)</f>
        <v>46.6815525507708</v>
      </c>
    </row>
    <row r="999" customFormat="false" ht="15" hidden="false" customHeight="false" outlineLevel="0" collapsed="false">
      <c r="A999" s="23" t="n">
        <f aca="false">Penalty!$B$5+995</f>
        <v>47122</v>
      </c>
      <c r="B999" s="24" t="n">
        <f aca="false">IF(YEAR(A999)&gt;2026,Penalty!$B$16/100,IFERROR(INDEX(Rates!$B$4:$E$15,MATCH(YEAR(A999),Rates!$A$4:$A$15,0),ROUNDUP(MONTH(A999)/3,0))/100,0.03))</f>
        <v>0.07</v>
      </c>
      <c r="C999" s="25" t="n">
        <f aca="false">MAX(0,Penalty!$B$4-SUMIFS(Penalty!$C$10:$C$12,Penalty!$B$10:$B$12,"&lt;"&amp;A999))</f>
        <v>12000</v>
      </c>
      <c r="D999" s="25" t="n">
        <f aca="false">IF(A999&lt;=Penalty!$B$8,C999+F998+IF(A999&gt;Penalty!$B$19,Penalty!$I$5,0)+G998,0)</f>
        <v>0</v>
      </c>
      <c r="E999" s="26" t="n">
        <f aca="false">D999*B999/365</f>
        <v>0</v>
      </c>
      <c r="F999" s="25" t="n">
        <f aca="false">F998+E999*(1-IF(D999&gt;0,(IF(A999&gt;Penalty!$B$19,Penalty!$I$5,0)+G998)/D999,0))</f>
        <v>345.789278153858</v>
      </c>
      <c r="G999" s="25" t="n">
        <f aca="false">G998+E999*IF(D999&gt;0,(IF(A999&gt;Penalty!$B$19,Penalty!$I$5,0)+G998)/D999,0)</f>
        <v>46.6815525507708</v>
      </c>
    </row>
    <row r="1000" customFormat="false" ht="15" hidden="false" customHeight="false" outlineLevel="0" collapsed="false">
      <c r="A1000" s="23" t="n">
        <f aca="false">Penalty!$B$5+996</f>
        <v>47123</v>
      </c>
      <c r="B1000" s="24" t="n">
        <f aca="false">IF(YEAR(A1000)&gt;2026,Penalty!$B$16/100,IFERROR(INDEX(Rates!$B$4:$E$15,MATCH(YEAR(A1000),Rates!$A$4:$A$15,0),ROUNDUP(MONTH(A1000)/3,0))/100,0.03))</f>
        <v>0.07</v>
      </c>
      <c r="C1000" s="25" t="n">
        <f aca="false">MAX(0,Penalty!$B$4-SUMIFS(Penalty!$C$10:$C$12,Penalty!$B$10:$B$12,"&lt;"&amp;A1000))</f>
        <v>12000</v>
      </c>
      <c r="D1000" s="25" t="n">
        <f aca="false">IF(A1000&lt;=Penalty!$B$8,C1000+F999+IF(A1000&gt;Penalty!$B$19,Penalty!$I$5,0)+G999,0)</f>
        <v>0</v>
      </c>
      <c r="E1000" s="26" t="n">
        <f aca="false">D1000*B1000/365</f>
        <v>0</v>
      </c>
      <c r="F1000" s="25" t="n">
        <f aca="false">F999+E1000*(1-IF(D1000&gt;0,(IF(A1000&gt;Penalty!$B$19,Penalty!$I$5,0)+G999)/D1000,0))</f>
        <v>345.789278153858</v>
      </c>
      <c r="G1000" s="25" t="n">
        <f aca="false">G999+E1000*IF(D1000&gt;0,(IF(A1000&gt;Penalty!$B$19,Penalty!$I$5,0)+G999)/D1000,0)</f>
        <v>46.6815525507708</v>
      </c>
    </row>
    <row r="1001" customFormat="false" ht="15" hidden="false" customHeight="false" outlineLevel="0" collapsed="false">
      <c r="A1001" s="23" t="n">
        <f aca="false">Penalty!$B$5+997</f>
        <v>47124</v>
      </c>
      <c r="B1001" s="24" t="n">
        <f aca="false">IF(YEAR(A1001)&gt;2026,Penalty!$B$16/100,IFERROR(INDEX(Rates!$B$4:$E$15,MATCH(YEAR(A1001),Rates!$A$4:$A$15,0),ROUNDUP(MONTH(A1001)/3,0))/100,0.03))</f>
        <v>0.07</v>
      </c>
      <c r="C1001" s="25" t="n">
        <f aca="false">MAX(0,Penalty!$B$4-SUMIFS(Penalty!$C$10:$C$12,Penalty!$B$10:$B$12,"&lt;"&amp;A1001))</f>
        <v>12000</v>
      </c>
      <c r="D1001" s="25" t="n">
        <f aca="false">IF(A1001&lt;=Penalty!$B$8,C1001+F1000+IF(A1001&gt;Penalty!$B$19,Penalty!$I$5,0)+G1000,0)</f>
        <v>0</v>
      </c>
      <c r="E1001" s="26" t="n">
        <f aca="false">D1001*B1001/365</f>
        <v>0</v>
      </c>
      <c r="F1001" s="25" t="n">
        <f aca="false">F1000+E1001*(1-IF(D1001&gt;0,(IF(A1001&gt;Penalty!$B$19,Penalty!$I$5,0)+G1000)/D1001,0))</f>
        <v>345.789278153858</v>
      </c>
      <c r="G1001" s="25" t="n">
        <f aca="false">G1000+E1001*IF(D1001&gt;0,(IF(A1001&gt;Penalty!$B$19,Penalty!$I$5,0)+G1000)/D1001,0)</f>
        <v>46.6815525507708</v>
      </c>
    </row>
    <row r="1002" customFormat="false" ht="15" hidden="false" customHeight="false" outlineLevel="0" collapsed="false">
      <c r="A1002" s="23" t="n">
        <f aca="false">Penalty!$B$5+998</f>
        <v>47125</v>
      </c>
      <c r="B1002" s="24" t="n">
        <f aca="false">IF(YEAR(A1002)&gt;2026,Penalty!$B$16/100,IFERROR(INDEX(Rates!$B$4:$E$15,MATCH(YEAR(A1002),Rates!$A$4:$A$15,0),ROUNDUP(MONTH(A1002)/3,0))/100,0.03))</f>
        <v>0.07</v>
      </c>
      <c r="C1002" s="25" t="n">
        <f aca="false">MAX(0,Penalty!$B$4-SUMIFS(Penalty!$C$10:$C$12,Penalty!$B$10:$B$12,"&lt;"&amp;A1002))</f>
        <v>12000</v>
      </c>
      <c r="D1002" s="25" t="n">
        <f aca="false">IF(A1002&lt;=Penalty!$B$8,C1002+F1001+IF(A1002&gt;Penalty!$B$19,Penalty!$I$5,0)+G1001,0)</f>
        <v>0</v>
      </c>
      <c r="E1002" s="26" t="n">
        <f aca="false">D1002*B1002/365</f>
        <v>0</v>
      </c>
      <c r="F1002" s="25" t="n">
        <f aca="false">F1001+E1002*(1-IF(D1002&gt;0,(IF(A1002&gt;Penalty!$B$19,Penalty!$I$5,0)+G1001)/D1002,0))</f>
        <v>345.789278153858</v>
      </c>
      <c r="G1002" s="25" t="n">
        <f aca="false">G1001+E1002*IF(D1002&gt;0,(IF(A1002&gt;Penalty!$B$19,Penalty!$I$5,0)+G1001)/D1002,0)</f>
        <v>46.6815525507708</v>
      </c>
    </row>
    <row r="1003" customFormat="false" ht="15" hidden="false" customHeight="false" outlineLevel="0" collapsed="false">
      <c r="A1003" s="23" t="n">
        <f aca="false">Penalty!$B$5+999</f>
        <v>47126</v>
      </c>
      <c r="B1003" s="24" t="n">
        <f aca="false">IF(YEAR(A1003)&gt;2026,Penalty!$B$16/100,IFERROR(INDEX(Rates!$B$4:$E$15,MATCH(YEAR(A1003),Rates!$A$4:$A$15,0),ROUNDUP(MONTH(A1003)/3,0))/100,0.03))</f>
        <v>0.07</v>
      </c>
      <c r="C1003" s="25" t="n">
        <f aca="false">MAX(0,Penalty!$B$4-SUMIFS(Penalty!$C$10:$C$12,Penalty!$B$10:$B$12,"&lt;"&amp;A1003))</f>
        <v>12000</v>
      </c>
      <c r="D1003" s="25" t="n">
        <f aca="false">IF(A1003&lt;=Penalty!$B$8,C1003+F1002+IF(A1003&gt;Penalty!$B$19,Penalty!$I$5,0)+G1002,0)</f>
        <v>0</v>
      </c>
      <c r="E1003" s="26" t="n">
        <f aca="false">D1003*B1003/365</f>
        <v>0</v>
      </c>
      <c r="F1003" s="25" t="n">
        <f aca="false">F1002+E1003*(1-IF(D1003&gt;0,(IF(A1003&gt;Penalty!$B$19,Penalty!$I$5,0)+G1002)/D1003,0))</f>
        <v>345.789278153858</v>
      </c>
      <c r="G1003" s="25" t="n">
        <f aca="false">G1002+E1003*IF(D1003&gt;0,(IF(A1003&gt;Penalty!$B$19,Penalty!$I$5,0)+G1002)/D1003,0)</f>
        <v>46.6815525507708</v>
      </c>
    </row>
    <row r="1004" customFormat="false" ht="15" hidden="false" customHeight="false" outlineLevel="0" collapsed="false">
      <c r="A1004" s="23" t="n">
        <f aca="false">Penalty!$B$5+1000</f>
        <v>47127</v>
      </c>
      <c r="B1004" s="24" t="n">
        <f aca="false">IF(YEAR(A1004)&gt;2026,Penalty!$B$16/100,IFERROR(INDEX(Rates!$B$4:$E$15,MATCH(YEAR(A1004),Rates!$A$4:$A$15,0),ROUNDUP(MONTH(A1004)/3,0))/100,0.03))</f>
        <v>0.07</v>
      </c>
      <c r="C1004" s="25" t="n">
        <f aca="false">MAX(0,Penalty!$B$4-SUMIFS(Penalty!$C$10:$C$12,Penalty!$B$10:$B$12,"&lt;"&amp;A1004))</f>
        <v>12000</v>
      </c>
      <c r="D1004" s="25" t="n">
        <f aca="false">IF(A1004&lt;=Penalty!$B$8,C1004+F1003+IF(A1004&gt;Penalty!$B$19,Penalty!$I$5,0)+G1003,0)</f>
        <v>0</v>
      </c>
      <c r="E1004" s="26" t="n">
        <f aca="false">D1004*B1004/365</f>
        <v>0</v>
      </c>
      <c r="F1004" s="25" t="n">
        <f aca="false">F1003+E1004*(1-IF(D1004&gt;0,(IF(A1004&gt;Penalty!$B$19,Penalty!$I$5,0)+G1003)/D1004,0))</f>
        <v>345.789278153858</v>
      </c>
      <c r="G1004" s="25" t="n">
        <f aca="false">G1003+E1004*IF(D1004&gt;0,(IF(A1004&gt;Penalty!$B$19,Penalty!$I$5,0)+G1003)/D1004,0)</f>
        <v>46.6815525507708</v>
      </c>
    </row>
    <row r="1005" customFormat="false" ht="15" hidden="false" customHeight="false" outlineLevel="0" collapsed="false">
      <c r="A1005" s="23" t="n">
        <f aca="false">Penalty!$B$5+1001</f>
        <v>47128</v>
      </c>
      <c r="B1005" s="24" t="n">
        <f aca="false">IF(YEAR(A1005)&gt;2026,Penalty!$B$16/100,IFERROR(INDEX(Rates!$B$4:$E$15,MATCH(YEAR(A1005),Rates!$A$4:$A$15,0),ROUNDUP(MONTH(A1005)/3,0))/100,0.03))</f>
        <v>0.07</v>
      </c>
      <c r="C1005" s="25" t="n">
        <f aca="false">MAX(0,Penalty!$B$4-SUMIFS(Penalty!$C$10:$C$12,Penalty!$B$10:$B$12,"&lt;"&amp;A1005))</f>
        <v>12000</v>
      </c>
      <c r="D1005" s="25" t="n">
        <f aca="false">IF(A1005&lt;=Penalty!$B$8,C1005+F1004+IF(A1005&gt;Penalty!$B$19,Penalty!$I$5,0)+G1004,0)</f>
        <v>0</v>
      </c>
      <c r="E1005" s="26" t="n">
        <f aca="false">D1005*B1005/365</f>
        <v>0</v>
      </c>
      <c r="F1005" s="25" t="n">
        <f aca="false">F1004+E1005*(1-IF(D1005&gt;0,(IF(A1005&gt;Penalty!$B$19,Penalty!$I$5,0)+G1004)/D1005,0))</f>
        <v>345.789278153858</v>
      </c>
      <c r="G1005" s="25" t="n">
        <f aca="false">G1004+E1005*IF(D1005&gt;0,(IF(A1005&gt;Penalty!$B$19,Penalty!$I$5,0)+G1004)/D1005,0)</f>
        <v>46.6815525507708</v>
      </c>
    </row>
    <row r="1006" customFormat="false" ht="15" hidden="false" customHeight="false" outlineLevel="0" collapsed="false">
      <c r="A1006" s="23" t="n">
        <f aca="false">Penalty!$B$5+1002</f>
        <v>47129</v>
      </c>
      <c r="B1006" s="24" t="n">
        <f aca="false">IF(YEAR(A1006)&gt;2026,Penalty!$B$16/100,IFERROR(INDEX(Rates!$B$4:$E$15,MATCH(YEAR(A1006),Rates!$A$4:$A$15,0),ROUNDUP(MONTH(A1006)/3,0))/100,0.03))</f>
        <v>0.07</v>
      </c>
      <c r="C1006" s="25" t="n">
        <f aca="false">MAX(0,Penalty!$B$4-SUMIFS(Penalty!$C$10:$C$12,Penalty!$B$10:$B$12,"&lt;"&amp;A1006))</f>
        <v>12000</v>
      </c>
      <c r="D1006" s="25" t="n">
        <f aca="false">IF(A1006&lt;=Penalty!$B$8,C1006+F1005+IF(A1006&gt;Penalty!$B$19,Penalty!$I$5,0)+G1005,0)</f>
        <v>0</v>
      </c>
      <c r="E1006" s="26" t="n">
        <f aca="false">D1006*B1006/365</f>
        <v>0</v>
      </c>
      <c r="F1006" s="25" t="n">
        <f aca="false">F1005+E1006*(1-IF(D1006&gt;0,(IF(A1006&gt;Penalty!$B$19,Penalty!$I$5,0)+G1005)/D1006,0))</f>
        <v>345.789278153858</v>
      </c>
      <c r="G1006" s="25" t="n">
        <f aca="false">G1005+E1006*IF(D1006&gt;0,(IF(A1006&gt;Penalty!$B$19,Penalty!$I$5,0)+G1005)/D1006,0)</f>
        <v>46.6815525507708</v>
      </c>
    </row>
    <row r="1007" customFormat="false" ht="15" hidden="false" customHeight="false" outlineLevel="0" collapsed="false">
      <c r="A1007" s="23" t="n">
        <f aca="false">Penalty!$B$5+1003</f>
        <v>47130</v>
      </c>
      <c r="B1007" s="24" t="n">
        <f aca="false">IF(YEAR(A1007)&gt;2026,Penalty!$B$16/100,IFERROR(INDEX(Rates!$B$4:$E$15,MATCH(YEAR(A1007),Rates!$A$4:$A$15,0),ROUNDUP(MONTH(A1007)/3,0))/100,0.03))</f>
        <v>0.07</v>
      </c>
      <c r="C1007" s="25" t="n">
        <f aca="false">MAX(0,Penalty!$B$4-SUMIFS(Penalty!$C$10:$C$12,Penalty!$B$10:$B$12,"&lt;"&amp;A1007))</f>
        <v>12000</v>
      </c>
      <c r="D1007" s="25" t="n">
        <f aca="false">IF(A1007&lt;=Penalty!$B$8,C1007+F1006+IF(A1007&gt;Penalty!$B$19,Penalty!$I$5,0)+G1006,0)</f>
        <v>0</v>
      </c>
      <c r="E1007" s="26" t="n">
        <f aca="false">D1007*B1007/365</f>
        <v>0</v>
      </c>
      <c r="F1007" s="25" t="n">
        <f aca="false">F1006+E1007*(1-IF(D1007&gt;0,(IF(A1007&gt;Penalty!$B$19,Penalty!$I$5,0)+G1006)/D1007,0))</f>
        <v>345.789278153858</v>
      </c>
      <c r="G1007" s="25" t="n">
        <f aca="false">G1006+E1007*IF(D1007&gt;0,(IF(A1007&gt;Penalty!$B$19,Penalty!$I$5,0)+G1006)/D1007,0)</f>
        <v>46.6815525507708</v>
      </c>
    </row>
    <row r="1008" customFormat="false" ht="15" hidden="false" customHeight="false" outlineLevel="0" collapsed="false">
      <c r="A1008" s="23" t="n">
        <f aca="false">Penalty!$B$5+1004</f>
        <v>47131</v>
      </c>
      <c r="B1008" s="24" t="n">
        <f aca="false">IF(YEAR(A1008)&gt;2026,Penalty!$B$16/100,IFERROR(INDEX(Rates!$B$4:$E$15,MATCH(YEAR(A1008),Rates!$A$4:$A$15,0),ROUNDUP(MONTH(A1008)/3,0))/100,0.03))</f>
        <v>0.07</v>
      </c>
      <c r="C1008" s="25" t="n">
        <f aca="false">MAX(0,Penalty!$B$4-SUMIFS(Penalty!$C$10:$C$12,Penalty!$B$10:$B$12,"&lt;"&amp;A1008))</f>
        <v>12000</v>
      </c>
      <c r="D1008" s="25" t="n">
        <f aca="false">IF(A1008&lt;=Penalty!$B$8,C1008+F1007+IF(A1008&gt;Penalty!$B$19,Penalty!$I$5,0)+G1007,0)</f>
        <v>0</v>
      </c>
      <c r="E1008" s="26" t="n">
        <f aca="false">D1008*B1008/365</f>
        <v>0</v>
      </c>
      <c r="F1008" s="25" t="n">
        <f aca="false">F1007+E1008*(1-IF(D1008&gt;0,(IF(A1008&gt;Penalty!$B$19,Penalty!$I$5,0)+G1007)/D1008,0))</f>
        <v>345.789278153858</v>
      </c>
      <c r="G1008" s="25" t="n">
        <f aca="false">G1007+E1008*IF(D1008&gt;0,(IF(A1008&gt;Penalty!$B$19,Penalty!$I$5,0)+G1007)/D1008,0)</f>
        <v>46.6815525507708</v>
      </c>
    </row>
    <row r="1009" customFormat="false" ht="15" hidden="false" customHeight="false" outlineLevel="0" collapsed="false">
      <c r="A1009" s="23" t="n">
        <f aca="false">Penalty!$B$5+1005</f>
        <v>47132</v>
      </c>
      <c r="B1009" s="24" t="n">
        <f aca="false">IF(YEAR(A1009)&gt;2026,Penalty!$B$16/100,IFERROR(INDEX(Rates!$B$4:$E$15,MATCH(YEAR(A1009),Rates!$A$4:$A$15,0),ROUNDUP(MONTH(A1009)/3,0))/100,0.03))</f>
        <v>0.07</v>
      </c>
      <c r="C1009" s="25" t="n">
        <f aca="false">MAX(0,Penalty!$B$4-SUMIFS(Penalty!$C$10:$C$12,Penalty!$B$10:$B$12,"&lt;"&amp;A1009))</f>
        <v>12000</v>
      </c>
      <c r="D1009" s="25" t="n">
        <f aca="false">IF(A1009&lt;=Penalty!$B$8,C1009+F1008+IF(A1009&gt;Penalty!$B$19,Penalty!$I$5,0)+G1008,0)</f>
        <v>0</v>
      </c>
      <c r="E1009" s="26" t="n">
        <f aca="false">D1009*B1009/365</f>
        <v>0</v>
      </c>
      <c r="F1009" s="25" t="n">
        <f aca="false">F1008+E1009*(1-IF(D1009&gt;0,(IF(A1009&gt;Penalty!$B$19,Penalty!$I$5,0)+G1008)/D1009,0))</f>
        <v>345.789278153858</v>
      </c>
      <c r="G1009" s="25" t="n">
        <f aca="false">G1008+E1009*IF(D1009&gt;0,(IF(A1009&gt;Penalty!$B$19,Penalty!$I$5,0)+G1008)/D1009,0)</f>
        <v>46.6815525507708</v>
      </c>
    </row>
    <row r="1010" customFormat="false" ht="15" hidden="false" customHeight="false" outlineLevel="0" collapsed="false">
      <c r="A1010" s="23" t="n">
        <f aca="false">Penalty!$B$5+1006</f>
        <v>47133</v>
      </c>
      <c r="B1010" s="24" t="n">
        <f aca="false">IF(YEAR(A1010)&gt;2026,Penalty!$B$16/100,IFERROR(INDEX(Rates!$B$4:$E$15,MATCH(YEAR(A1010),Rates!$A$4:$A$15,0),ROUNDUP(MONTH(A1010)/3,0))/100,0.03))</f>
        <v>0.07</v>
      </c>
      <c r="C1010" s="25" t="n">
        <f aca="false">MAX(0,Penalty!$B$4-SUMIFS(Penalty!$C$10:$C$12,Penalty!$B$10:$B$12,"&lt;"&amp;A1010))</f>
        <v>12000</v>
      </c>
      <c r="D1010" s="25" t="n">
        <f aca="false">IF(A1010&lt;=Penalty!$B$8,C1010+F1009+IF(A1010&gt;Penalty!$B$19,Penalty!$I$5,0)+G1009,0)</f>
        <v>0</v>
      </c>
      <c r="E1010" s="26" t="n">
        <f aca="false">D1010*B1010/365</f>
        <v>0</v>
      </c>
      <c r="F1010" s="25" t="n">
        <f aca="false">F1009+E1010*(1-IF(D1010&gt;0,(IF(A1010&gt;Penalty!$B$19,Penalty!$I$5,0)+G1009)/D1010,0))</f>
        <v>345.789278153858</v>
      </c>
      <c r="G1010" s="25" t="n">
        <f aca="false">G1009+E1010*IF(D1010&gt;0,(IF(A1010&gt;Penalty!$B$19,Penalty!$I$5,0)+G1009)/D1010,0)</f>
        <v>46.6815525507708</v>
      </c>
    </row>
    <row r="1011" customFormat="false" ht="15" hidden="false" customHeight="false" outlineLevel="0" collapsed="false">
      <c r="A1011" s="23" t="n">
        <f aca="false">Penalty!$B$5+1007</f>
        <v>47134</v>
      </c>
      <c r="B1011" s="24" t="n">
        <f aca="false">IF(YEAR(A1011)&gt;2026,Penalty!$B$16/100,IFERROR(INDEX(Rates!$B$4:$E$15,MATCH(YEAR(A1011),Rates!$A$4:$A$15,0),ROUNDUP(MONTH(A1011)/3,0))/100,0.03))</f>
        <v>0.07</v>
      </c>
      <c r="C1011" s="25" t="n">
        <f aca="false">MAX(0,Penalty!$B$4-SUMIFS(Penalty!$C$10:$C$12,Penalty!$B$10:$B$12,"&lt;"&amp;A1011))</f>
        <v>12000</v>
      </c>
      <c r="D1011" s="25" t="n">
        <f aca="false">IF(A1011&lt;=Penalty!$B$8,C1011+F1010+IF(A1011&gt;Penalty!$B$19,Penalty!$I$5,0)+G1010,0)</f>
        <v>0</v>
      </c>
      <c r="E1011" s="26" t="n">
        <f aca="false">D1011*B1011/365</f>
        <v>0</v>
      </c>
      <c r="F1011" s="25" t="n">
        <f aca="false">F1010+E1011*(1-IF(D1011&gt;0,(IF(A1011&gt;Penalty!$B$19,Penalty!$I$5,0)+G1010)/D1011,0))</f>
        <v>345.789278153858</v>
      </c>
      <c r="G1011" s="25" t="n">
        <f aca="false">G1010+E1011*IF(D1011&gt;0,(IF(A1011&gt;Penalty!$B$19,Penalty!$I$5,0)+G1010)/D1011,0)</f>
        <v>46.6815525507708</v>
      </c>
    </row>
    <row r="1012" customFormat="false" ht="15" hidden="false" customHeight="false" outlineLevel="0" collapsed="false">
      <c r="A1012" s="23" t="n">
        <f aca="false">Penalty!$B$5+1008</f>
        <v>47135</v>
      </c>
      <c r="B1012" s="24" t="n">
        <f aca="false">IF(YEAR(A1012)&gt;2026,Penalty!$B$16/100,IFERROR(INDEX(Rates!$B$4:$E$15,MATCH(YEAR(A1012),Rates!$A$4:$A$15,0),ROUNDUP(MONTH(A1012)/3,0))/100,0.03))</f>
        <v>0.07</v>
      </c>
      <c r="C1012" s="25" t="n">
        <f aca="false">MAX(0,Penalty!$B$4-SUMIFS(Penalty!$C$10:$C$12,Penalty!$B$10:$B$12,"&lt;"&amp;A1012))</f>
        <v>12000</v>
      </c>
      <c r="D1012" s="25" t="n">
        <f aca="false">IF(A1012&lt;=Penalty!$B$8,C1012+F1011+IF(A1012&gt;Penalty!$B$19,Penalty!$I$5,0)+G1011,0)</f>
        <v>0</v>
      </c>
      <c r="E1012" s="26" t="n">
        <f aca="false">D1012*B1012/365</f>
        <v>0</v>
      </c>
      <c r="F1012" s="25" t="n">
        <f aca="false">F1011+E1012*(1-IF(D1012&gt;0,(IF(A1012&gt;Penalty!$B$19,Penalty!$I$5,0)+G1011)/D1012,0))</f>
        <v>345.789278153858</v>
      </c>
      <c r="G1012" s="25" t="n">
        <f aca="false">G1011+E1012*IF(D1012&gt;0,(IF(A1012&gt;Penalty!$B$19,Penalty!$I$5,0)+G1011)/D1012,0)</f>
        <v>46.6815525507708</v>
      </c>
    </row>
    <row r="1013" customFormat="false" ht="15" hidden="false" customHeight="false" outlineLevel="0" collapsed="false">
      <c r="A1013" s="23" t="n">
        <f aca="false">Penalty!$B$5+1009</f>
        <v>47136</v>
      </c>
      <c r="B1013" s="24" t="n">
        <f aca="false">IF(YEAR(A1013)&gt;2026,Penalty!$B$16/100,IFERROR(INDEX(Rates!$B$4:$E$15,MATCH(YEAR(A1013),Rates!$A$4:$A$15,0),ROUNDUP(MONTH(A1013)/3,0))/100,0.03))</f>
        <v>0.07</v>
      </c>
      <c r="C1013" s="25" t="n">
        <f aca="false">MAX(0,Penalty!$B$4-SUMIFS(Penalty!$C$10:$C$12,Penalty!$B$10:$B$12,"&lt;"&amp;A1013))</f>
        <v>12000</v>
      </c>
      <c r="D1013" s="25" t="n">
        <f aca="false">IF(A1013&lt;=Penalty!$B$8,C1013+F1012+IF(A1013&gt;Penalty!$B$19,Penalty!$I$5,0)+G1012,0)</f>
        <v>0</v>
      </c>
      <c r="E1013" s="26" t="n">
        <f aca="false">D1013*B1013/365</f>
        <v>0</v>
      </c>
      <c r="F1013" s="25" t="n">
        <f aca="false">F1012+E1013*(1-IF(D1013&gt;0,(IF(A1013&gt;Penalty!$B$19,Penalty!$I$5,0)+G1012)/D1013,0))</f>
        <v>345.789278153858</v>
      </c>
      <c r="G1013" s="25" t="n">
        <f aca="false">G1012+E1013*IF(D1013&gt;0,(IF(A1013&gt;Penalty!$B$19,Penalty!$I$5,0)+G1012)/D1013,0)</f>
        <v>46.6815525507708</v>
      </c>
    </row>
    <row r="1014" customFormat="false" ht="15" hidden="false" customHeight="false" outlineLevel="0" collapsed="false">
      <c r="A1014" s="23" t="n">
        <f aca="false">Penalty!$B$5+1010</f>
        <v>47137</v>
      </c>
      <c r="B1014" s="24" t="n">
        <f aca="false">IF(YEAR(A1014)&gt;2026,Penalty!$B$16/100,IFERROR(INDEX(Rates!$B$4:$E$15,MATCH(YEAR(A1014),Rates!$A$4:$A$15,0),ROUNDUP(MONTH(A1014)/3,0))/100,0.03))</f>
        <v>0.07</v>
      </c>
      <c r="C1014" s="25" t="n">
        <f aca="false">MAX(0,Penalty!$B$4-SUMIFS(Penalty!$C$10:$C$12,Penalty!$B$10:$B$12,"&lt;"&amp;A1014))</f>
        <v>12000</v>
      </c>
      <c r="D1014" s="25" t="n">
        <f aca="false">IF(A1014&lt;=Penalty!$B$8,C1014+F1013+IF(A1014&gt;Penalty!$B$19,Penalty!$I$5,0)+G1013,0)</f>
        <v>0</v>
      </c>
      <c r="E1014" s="26" t="n">
        <f aca="false">D1014*B1014/365</f>
        <v>0</v>
      </c>
      <c r="F1014" s="25" t="n">
        <f aca="false">F1013+E1014*(1-IF(D1014&gt;0,(IF(A1014&gt;Penalty!$B$19,Penalty!$I$5,0)+G1013)/D1014,0))</f>
        <v>345.789278153858</v>
      </c>
      <c r="G1014" s="25" t="n">
        <f aca="false">G1013+E1014*IF(D1014&gt;0,(IF(A1014&gt;Penalty!$B$19,Penalty!$I$5,0)+G1013)/D1014,0)</f>
        <v>46.6815525507708</v>
      </c>
    </row>
    <row r="1015" customFormat="false" ht="15" hidden="false" customHeight="false" outlineLevel="0" collapsed="false">
      <c r="A1015" s="23" t="n">
        <f aca="false">Penalty!$B$5+1011</f>
        <v>47138</v>
      </c>
      <c r="B1015" s="24" t="n">
        <f aca="false">IF(YEAR(A1015)&gt;2026,Penalty!$B$16/100,IFERROR(INDEX(Rates!$B$4:$E$15,MATCH(YEAR(A1015),Rates!$A$4:$A$15,0),ROUNDUP(MONTH(A1015)/3,0))/100,0.03))</f>
        <v>0.07</v>
      </c>
      <c r="C1015" s="25" t="n">
        <f aca="false">MAX(0,Penalty!$B$4-SUMIFS(Penalty!$C$10:$C$12,Penalty!$B$10:$B$12,"&lt;"&amp;A1015))</f>
        <v>12000</v>
      </c>
      <c r="D1015" s="25" t="n">
        <f aca="false">IF(A1015&lt;=Penalty!$B$8,C1015+F1014+IF(A1015&gt;Penalty!$B$19,Penalty!$I$5,0)+G1014,0)</f>
        <v>0</v>
      </c>
      <c r="E1015" s="26" t="n">
        <f aca="false">D1015*B1015/365</f>
        <v>0</v>
      </c>
      <c r="F1015" s="25" t="n">
        <f aca="false">F1014+E1015*(1-IF(D1015&gt;0,(IF(A1015&gt;Penalty!$B$19,Penalty!$I$5,0)+G1014)/D1015,0))</f>
        <v>345.789278153858</v>
      </c>
      <c r="G1015" s="25" t="n">
        <f aca="false">G1014+E1015*IF(D1015&gt;0,(IF(A1015&gt;Penalty!$B$19,Penalty!$I$5,0)+G1014)/D1015,0)</f>
        <v>46.6815525507708</v>
      </c>
    </row>
    <row r="1016" customFormat="false" ht="15" hidden="false" customHeight="false" outlineLevel="0" collapsed="false">
      <c r="A1016" s="23" t="n">
        <f aca="false">Penalty!$B$5+1012</f>
        <v>47139</v>
      </c>
      <c r="B1016" s="24" t="n">
        <f aca="false">IF(YEAR(A1016)&gt;2026,Penalty!$B$16/100,IFERROR(INDEX(Rates!$B$4:$E$15,MATCH(YEAR(A1016),Rates!$A$4:$A$15,0),ROUNDUP(MONTH(A1016)/3,0))/100,0.03))</f>
        <v>0.07</v>
      </c>
      <c r="C1016" s="25" t="n">
        <f aca="false">MAX(0,Penalty!$B$4-SUMIFS(Penalty!$C$10:$C$12,Penalty!$B$10:$B$12,"&lt;"&amp;A1016))</f>
        <v>12000</v>
      </c>
      <c r="D1016" s="25" t="n">
        <f aca="false">IF(A1016&lt;=Penalty!$B$8,C1016+F1015+IF(A1016&gt;Penalty!$B$19,Penalty!$I$5,0)+G1015,0)</f>
        <v>0</v>
      </c>
      <c r="E1016" s="26" t="n">
        <f aca="false">D1016*B1016/365</f>
        <v>0</v>
      </c>
      <c r="F1016" s="25" t="n">
        <f aca="false">F1015+E1016*(1-IF(D1016&gt;0,(IF(A1016&gt;Penalty!$B$19,Penalty!$I$5,0)+G1015)/D1016,0))</f>
        <v>345.789278153858</v>
      </c>
      <c r="G1016" s="25" t="n">
        <f aca="false">G1015+E1016*IF(D1016&gt;0,(IF(A1016&gt;Penalty!$B$19,Penalty!$I$5,0)+G1015)/D1016,0)</f>
        <v>46.6815525507708</v>
      </c>
    </row>
    <row r="1017" customFormat="false" ht="15" hidden="false" customHeight="false" outlineLevel="0" collapsed="false">
      <c r="A1017" s="23" t="n">
        <f aca="false">Penalty!$B$5+1013</f>
        <v>47140</v>
      </c>
      <c r="B1017" s="24" t="n">
        <f aca="false">IF(YEAR(A1017)&gt;2026,Penalty!$B$16/100,IFERROR(INDEX(Rates!$B$4:$E$15,MATCH(YEAR(A1017),Rates!$A$4:$A$15,0),ROUNDUP(MONTH(A1017)/3,0))/100,0.03))</f>
        <v>0.07</v>
      </c>
      <c r="C1017" s="25" t="n">
        <f aca="false">MAX(0,Penalty!$B$4-SUMIFS(Penalty!$C$10:$C$12,Penalty!$B$10:$B$12,"&lt;"&amp;A1017))</f>
        <v>12000</v>
      </c>
      <c r="D1017" s="25" t="n">
        <f aca="false">IF(A1017&lt;=Penalty!$B$8,C1017+F1016+IF(A1017&gt;Penalty!$B$19,Penalty!$I$5,0)+G1016,0)</f>
        <v>0</v>
      </c>
      <c r="E1017" s="26" t="n">
        <f aca="false">D1017*B1017/365</f>
        <v>0</v>
      </c>
      <c r="F1017" s="25" t="n">
        <f aca="false">F1016+E1017*(1-IF(D1017&gt;0,(IF(A1017&gt;Penalty!$B$19,Penalty!$I$5,0)+G1016)/D1017,0))</f>
        <v>345.789278153858</v>
      </c>
      <c r="G1017" s="25" t="n">
        <f aca="false">G1016+E1017*IF(D1017&gt;0,(IF(A1017&gt;Penalty!$B$19,Penalty!$I$5,0)+G1016)/D1017,0)</f>
        <v>46.6815525507708</v>
      </c>
    </row>
    <row r="1018" customFormat="false" ht="15" hidden="false" customHeight="false" outlineLevel="0" collapsed="false">
      <c r="A1018" s="23" t="n">
        <f aca="false">Penalty!$B$5+1014</f>
        <v>47141</v>
      </c>
      <c r="B1018" s="24" t="n">
        <f aca="false">IF(YEAR(A1018)&gt;2026,Penalty!$B$16/100,IFERROR(INDEX(Rates!$B$4:$E$15,MATCH(YEAR(A1018),Rates!$A$4:$A$15,0),ROUNDUP(MONTH(A1018)/3,0))/100,0.03))</f>
        <v>0.07</v>
      </c>
      <c r="C1018" s="25" t="n">
        <f aca="false">MAX(0,Penalty!$B$4-SUMIFS(Penalty!$C$10:$C$12,Penalty!$B$10:$B$12,"&lt;"&amp;A1018))</f>
        <v>12000</v>
      </c>
      <c r="D1018" s="25" t="n">
        <f aca="false">IF(A1018&lt;=Penalty!$B$8,C1018+F1017+IF(A1018&gt;Penalty!$B$19,Penalty!$I$5,0)+G1017,0)</f>
        <v>0</v>
      </c>
      <c r="E1018" s="26" t="n">
        <f aca="false">D1018*B1018/365</f>
        <v>0</v>
      </c>
      <c r="F1018" s="25" t="n">
        <f aca="false">F1017+E1018*(1-IF(D1018&gt;0,(IF(A1018&gt;Penalty!$B$19,Penalty!$I$5,0)+G1017)/D1018,0))</f>
        <v>345.789278153858</v>
      </c>
      <c r="G1018" s="25" t="n">
        <f aca="false">G1017+E1018*IF(D1018&gt;0,(IF(A1018&gt;Penalty!$B$19,Penalty!$I$5,0)+G1017)/D1018,0)</f>
        <v>46.6815525507708</v>
      </c>
    </row>
    <row r="1019" customFormat="false" ht="15" hidden="false" customHeight="false" outlineLevel="0" collapsed="false">
      <c r="A1019" s="23" t="n">
        <f aca="false">Penalty!$B$5+1015</f>
        <v>47142</v>
      </c>
      <c r="B1019" s="24" t="n">
        <f aca="false">IF(YEAR(A1019)&gt;2026,Penalty!$B$16/100,IFERROR(INDEX(Rates!$B$4:$E$15,MATCH(YEAR(A1019),Rates!$A$4:$A$15,0),ROUNDUP(MONTH(A1019)/3,0))/100,0.03))</f>
        <v>0.07</v>
      </c>
      <c r="C1019" s="25" t="n">
        <f aca="false">MAX(0,Penalty!$B$4-SUMIFS(Penalty!$C$10:$C$12,Penalty!$B$10:$B$12,"&lt;"&amp;A1019))</f>
        <v>12000</v>
      </c>
      <c r="D1019" s="25" t="n">
        <f aca="false">IF(A1019&lt;=Penalty!$B$8,C1019+F1018+IF(A1019&gt;Penalty!$B$19,Penalty!$I$5,0)+G1018,0)</f>
        <v>0</v>
      </c>
      <c r="E1019" s="26" t="n">
        <f aca="false">D1019*B1019/365</f>
        <v>0</v>
      </c>
      <c r="F1019" s="25" t="n">
        <f aca="false">F1018+E1019*(1-IF(D1019&gt;0,(IF(A1019&gt;Penalty!$B$19,Penalty!$I$5,0)+G1018)/D1019,0))</f>
        <v>345.789278153858</v>
      </c>
      <c r="G1019" s="25" t="n">
        <f aca="false">G1018+E1019*IF(D1019&gt;0,(IF(A1019&gt;Penalty!$B$19,Penalty!$I$5,0)+G1018)/D1019,0)</f>
        <v>46.6815525507708</v>
      </c>
    </row>
    <row r="1020" customFormat="false" ht="15" hidden="false" customHeight="false" outlineLevel="0" collapsed="false">
      <c r="A1020" s="23" t="n">
        <f aca="false">Penalty!$B$5+1016</f>
        <v>47143</v>
      </c>
      <c r="B1020" s="24" t="n">
        <f aca="false">IF(YEAR(A1020)&gt;2026,Penalty!$B$16/100,IFERROR(INDEX(Rates!$B$4:$E$15,MATCH(YEAR(A1020),Rates!$A$4:$A$15,0),ROUNDUP(MONTH(A1020)/3,0))/100,0.03))</f>
        <v>0.07</v>
      </c>
      <c r="C1020" s="25" t="n">
        <f aca="false">MAX(0,Penalty!$B$4-SUMIFS(Penalty!$C$10:$C$12,Penalty!$B$10:$B$12,"&lt;"&amp;A1020))</f>
        <v>12000</v>
      </c>
      <c r="D1020" s="25" t="n">
        <f aca="false">IF(A1020&lt;=Penalty!$B$8,C1020+F1019+IF(A1020&gt;Penalty!$B$19,Penalty!$I$5,0)+G1019,0)</f>
        <v>0</v>
      </c>
      <c r="E1020" s="26" t="n">
        <f aca="false">D1020*B1020/365</f>
        <v>0</v>
      </c>
      <c r="F1020" s="25" t="n">
        <f aca="false">F1019+E1020*(1-IF(D1020&gt;0,(IF(A1020&gt;Penalty!$B$19,Penalty!$I$5,0)+G1019)/D1020,0))</f>
        <v>345.789278153858</v>
      </c>
      <c r="G1020" s="25" t="n">
        <f aca="false">G1019+E1020*IF(D1020&gt;0,(IF(A1020&gt;Penalty!$B$19,Penalty!$I$5,0)+G1019)/D1020,0)</f>
        <v>46.6815525507708</v>
      </c>
    </row>
    <row r="1021" customFormat="false" ht="15" hidden="false" customHeight="false" outlineLevel="0" collapsed="false">
      <c r="A1021" s="23" t="n">
        <f aca="false">Penalty!$B$5+1017</f>
        <v>47144</v>
      </c>
      <c r="B1021" s="24" t="n">
        <f aca="false">IF(YEAR(A1021)&gt;2026,Penalty!$B$16/100,IFERROR(INDEX(Rates!$B$4:$E$15,MATCH(YEAR(A1021),Rates!$A$4:$A$15,0),ROUNDUP(MONTH(A1021)/3,0))/100,0.03))</f>
        <v>0.07</v>
      </c>
      <c r="C1021" s="25" t="n">
        <f aca="false">MAX(0,Penalty!$B$4-SUMIFS(Penalty!$C$10:$C$12,Penalty!$B$10:$B$12,"&lt;"&amp;A1021))</f>
        <v>12000</v>
      </c>
      <c r="D1021" s="25" t="n">
        <f aca="false">IF(A1021&lt;=Penalty!$B$8,C1021+F1020+IF(A1021&gt;Penalty!$B$19,Penalty!$I$5,0)+G1020,0)</f>
        <v>0</v>
      </c>
      <c r="E1021" s="26" t="n">
        <f aca="false">D1021*B1021/365</f>
        <v>0</v>
      </c>
      <c r="F1021" s="25" t="n">
        <f aca="false">F1020+E1021*(1-IF(D1021&gt;0,(IF(A1021&gt;Penalty!$B$19,Penalty!$I$5,0)+G1020)/D1021,0))</f>
        <v>345.789278153858</v>
      </c>
      <c r="G1021" s="25" t="n">
        <f aca="false">G1020+E1021*IF(D1021&gt;0,(IF(A1021&gt;Penalty!$B$19,Penalty!$I$5,0)+G1020)/D1021,0)</f>
        <v>46.6815525507708</v>
      </c>
    </row>
    <row r="1022" customFormat="false" ht="15" hidden="false" customHeight="false" outlineLevel="0" collapsed="false">
      <c r="A1022" s="23" t="n">
        <f aca="false">Penalty!$B$5+1018</f>
        <v>47145</v>
      </c>
      <c r="B1022" s="24" t="n">
        <f aca="false">IF(YEAR(A1022)&gt;2026,Penalty!$B$16/100,IFERROR(INDEX(Rates!$B$4:$E$15,MATCH(YEAR(A1022),Rates!$A$4:$A$15,0),ROUNDUP(MONTH(A1022)/3,0))/100,0.03))</f>
        <v>0.07</v>
      </c>
      <c r="C1022" s="25" t="n">
        <f aca="false">MAX(0,Penalty!$B$4-SUMIFS(Penalty!$C$10:$C$12,Penalty!$B$10:$B$12,"&lt;"&amp;A1022))</f>
        <v>12000</v>
      </c>
      <c r="D1022" s="25" t="n">
        <f aca="false">IF(A1022&lt;=Penalty!$B$8,C1022+F1021+IF(A1022&gt;Penalty!$B$19,Penalty!$I$5,0)+G1021,0)</f>
        <v>0</v>
      </c>
      <c r="E1022" s="26" t="n">
        <f aca="false">D1022*B1022/365</f>
        <v>0</v>
      </c>
      <c r="F1022" s="25" t="n">
        <f aca="false">F1021+E1022*(1-IF(D1022&gt;0,(IF(A1022&gt;Penalty!$B$19,Penalty!$I$5,0)+G1021)/D1022,0))</f>
        <v>345.789278153858</v>
      </c>
      <c r="G1022" s="25" t="n">
        <f aca="false">G1021+E1022*IF(D1022&gt;0,(IF(A1022&gt;Penalty!$B$19,Penalty!$I$5,0)+G1021)/D1022,0)</f>
        <v>46.6815525507708</v>
      </c>
    </row>
    <row r="1023" customFormat="false" ht="15" hidden="false" customHeight="false" outlineLevel="0" collapsed="false">
      <c r="A1023" s="23" t="n">
        <f aca="false">Penalty!$B$5+1019</f>
        <v>47146</v>
      </c>
      <c r="B1023" s="24" t="n">
        <f aca="false">IF(YEAR(A1023)&gt;2026,Penalty!$B$16/100,IFERROR(INDEX(Rates!$B$4:$E$15,MATCH(YEAR(A1023),Rates!$A$4:$A$15,0),ROUNDUP(MONTH(A1023)/3,0))/100,0.03))</f>
        <v>0.07</v>
      </c>
      <c r="C1023" s="25" t="n">
        <f aca="false">MAX(0,Penalty!$B$4-SUMIFS(Penalty!$C$10:$C$12,Penalty!$B$10:$B$12,"&lt;"&amp;A1023))</f>
        <v>12000</v>
      </c>
      <c r="D1023" s="25" t="n">
        <f aca="false">IF(A1023&lt;=Penalty!$B$8,C1023+F1022+IF(A1023&gt;Penalty!$B$19,Penalty!$I$5,0)+G1022,0)</f>
        <v>0</v>
      </c>
      <c r="E1023" s="26" t="n">
        <f aca="false">D1023*B1023/365</f>
        <v>0</v>
      </c>
      <c r="F1023" s="25" t="n">
        <f aca="false">F1022+E1023*(1-IF(D1023&gt;0,(IF(A1023&gt;Penalty!$B$19,Penalty!$I$5,0)+G1022)/D1023,0))</f>
        <v>345.789278153858</v>
      </c>
      <c r="G1023" s="25" t="n">
        <f aca="false">G1022+E1023*IF(D1023&gt;0,(IF(A1023&gt;Penalty!$B$19,Penalty!$I$5,0)+G1022)/D1023,0)</f>
        <v>46.6815525507708</v>
      </c>
    </row>
    <row r="1024" customFormat="false" ht="15" hidden="false" customHeight="false" outlineLevel="0" collapsed="false">
      <c r="A1024" s="23" t="n">
        <f aca="false">Penalty!$B$5+1020</f>
        <v>47147</v>
      </c>
      <c r="B1024" s="24" t="n">
        <f aca="false">IF(YEAR(A1024)&gt;2026,Penalty!$B$16/100,IFERROR(INDEX(Rates!$B$4:$E$15,MATCH(YEAR(A1024),Rates!$A$4:$A$15,0),ROUNDUP(MONTH(A1024)/3,0))/100,0.03))</f>
        <v>0.07</v>
      </c>
      <c r="C1024" s="25" t="n">
        <f aca="false">MAX(0,Penalty!$B$4-SUMIFS(Penalty!$C$10:$C$12,Penalty!$B$10:$B$12,"&lt;"&amp;A1024))</f>
        <v>12000</v>
      </c>
      <c r="D1024" s="25" t="n">
        <f aca="false">IF(A1024&lt;=Penalty!$B$8,C1024+F1023+IF(A1024&gt;Penalty!$B$19,Penalty!$I$5,0)+G1023,0)</f>
        <v>0</v>
      </c>
      <c r="E1024" s="26" t="n">
        <f aca="false">D1024*B1024/365</f>
        <v>0</v>
      </c>
      <c r="F1024" s="25" t="n">
        <f aca="false">F1023+E1024*(1-IF(D1024&gt;0,(IF(A1024&gt;Penalty!$B$19,Penalty!$I$5,0)+G1023)/D1024,0))</f>
        <v>345.789278153858</v>
      </c>
      <c r="G1024" s="25" t="n">
        <f aca="false">G1023+E1024*IF(D1024&gt;0,(IF(A1024&gt;Penalty!$B$19,Penalty!$I$5,0)+G1023)/D1024,0)</f>
        <v>46.6815525507708</v>
      </c>
    </row>
    <row r="1025" customFormat="false" ht="15" hidden="false" customHeight="false" outlineLevel="0" collapsed="false">
      <c r="A1025" s="23" t="n">
        <f aca="false">Penalty!$B$5+1021</f>
        <v>47148</v>
      </c>
      <c r="B1025" s="24" t="n">
        <f aca="false">IF(YEAR(A1025)&gt;2026,Penalty!$B$16/100,IFERROR(INDEX(Rates!$B$4:$E$15,MATCH(YEAR(A1025),Rates!$A$4:$A$15,0),ROUNDUP(MONTH(A1025)/3,0))/100,0.03))</f>
        <v>0.07</v>
      </c>
      <c r="C1025" s="25" t="n">
        <f aca="false">MAX(0,Penalty!$B$4-SUMIFS(Penalty!$C$10:$C$12,Penalty!$B$10:$B$12,"&lt;"&amp;A1025))</f>
        <v>12000</v>
      </c>
      <c r="D1025" s="25" t="n">
        <f aca="false">IF(A1025&lt;=Penalty!$B$8,C1025+F1024+IF(A1025&gt;Penalty!$B$19,Penalty!$I$5,0)+G1024,0)</f>
        <v>0</v>
      </c>
      <c r="E1025" s="26" t="n">
        <f aca="false">D1025*B1025/365</f>
        <v>0</v>
      </c>
      <c r="F1025" s="25" t="n">
        <f aca="false">F1024+E1025*(1-IF(D1025&gt;0,(IF(A1025&gt;Penalty!$B$19,Penalty!$I$5,0)+G1024)/D1025,0))</f>
        <v>345.789278153858</v>
      </c>
      <c r="G1025" s="25" t="n">
        <f aca="false">G1024+E1025*IF(D1025&gt;0,(IF(A1025&gt;Penalty!$B$19,Penalty!$I$5,0)+G1024)/D1025,0)</f>
        <v>46.6815525507708</v>
      </c>
    </row>
    <row r="1026" customFormat="false" ht="15" hidden="false" customHeight="false" outlineLevel="0" collapsed="false">
      <c r="A1026" s="23" t="n">
        <f aca="false">Penalty!$B$5+1022</f>
        <v>47149</v>
      </c>
      <c r="B1026" s="24" t="n">
        <f aca="false">IF(YEAR(A1026)&gt;2026,Penalty!$B$16/100,IFERROR(INDEX(Rates!$B$4:$E$15,MATCH(YEAR(A1026),Rates!$A$4:$A$15,0),ROUNDUP(MONTH(A1026)/3,0))/100,0.03))</f>
        <v>0.07</v>
      </c>
      <c r="C1026" s="25" t="n">
        <f aca="false">MAX(0,Penalty!$B$4-SUMIFS(Penalty!$C$10:$C$12,Penalty!$B$10:$B$12,"&lt;"&amp;A1026))</f>
        <v>12000</v>
      </c>
      <c r="D1026" s="25" t="n">
        <f aca="false">IF(A1026&lt;=Penalty!$B$8,C1026+F1025+IF(A1026&gt;Penalty!$B$19,Penalty!$I$5,0)+G1025,0)</f>
        <v>0</v>
      </c>
      <c r="E1026" s="26" t="n">
        <f aca="false">D1026*B1026/365</f>
        <v>0</v>
      </c>
      <c r="F1026" s="25" t="n">
        <f aca="false">F1025+E1026*(1-IF(D1026&gt;0,(IF(A1026&gt;Penalty!$B$19,Penalty!$I$5,0)+G1025)/D1026,0))</f>
        <v>345.789278153858</v>
      </c>
      <c r="G1026" s="25" t="n">
        <f aca="false">G1025+E1026*IF(D1026&gt;0,(IF(A1026&gt;Penalty!$B$19,Penalty!$I$5,0)+G1025)/D1026,0)</f>
        <v>46.6815525507708</v>
      </c>
    </row>
    <row r="1027" customFormat="false" ht="15" hidden="false" customHeight="false" outlineLevel="0" collapsed="false">
      <c r="A1027" s="23" t="n">
        <f aca="false">Penalty!$B$5+1023</f>
        <v>47150</v>
      </c>
      <c r="B1027" s="24" t="n">
        <f aca="false">IF(YEAR(A1027)&gt;2026,Penalty!$B$16/100,IFERROR(INDEX(Rates!$B$4:$E$15,MATCH(YEAR(A1027),Rates!$A$4:$A$15,0),ROUNDUP(MONTH(A1027)/3,0))/100,0.03))</f>
        <v>0.07</v>
      </c>
      <c r="C1027" s="25" t="n">
        <f aca="false">MAX(0,Penalty!$B$4-SUMIFS(Penalty!$C$10:$C$12,Penalty!$B$10:$B$12,"&lt;"&amp;A1027))</f>
        <v>12000</v>
      </c>
      <c r="D1027" s="25" t="n">
        <f aca="false">IF(A1027&lt;=Penalty!$B$8,C1027+F1026+IF(A1027&gt;Penalty!$B$19,Penalty!$I$5,0)+G1026,0)</f>
        <v>0</v>
      </c>
      <c r="E1027" s="26" t="n">
        <f aca="false">D1027*B1027/365</f>
        <v>0</v>
      </c>
      <c r="F1027" s="25" t="n">
        <f aca="false">F1026+E1027*(1-IF(D1027&gt;0,(IF(A1027&gt;Penalty!$B$19,Penalty!$I$5,0)+G1026)/D1027,0))</f>
        <v>345.789278153858</v>
      </c>
      <c r="G1027" s="25" t="n">
        <f aca="false">G1026+E1027*IF(D1027&gt;0,(IF(A1027&gt;Penalty!$B$19,Penalty!$I$5,0)+G1026)/D1027,0)</f>
        <v>46.6815525507708</v>
      </c>
    </row>
    <row r="1028" customFormat="false" ht="15" hidden="false" customHeight="false" outlineLevel="0" collapsed="false">
      <c r="A1028" s="23" t="n">
        <f aca="false">Penalty!$B$5+1024</f>
        <v>47151</v>
      </c>
      <c r="B1028" s="24" t="n">
        <f aca="false">IF(YEAR(A1028)&gt;2026,Penalty!$B$16/100,IFERROR(INDEX(Rates!$B$4:$E$15,MATCH(YEAR(A1028),Rates!$A$4:$A$15,0),ROUNDUP(MONTH(A1028)/3,0))/100,0.03))</f>
        <v>0.07</v>
      </c>
      <c r="C1028" s="25" t="n">
        <f aca="false">MAX(0,Penalty!$B$4-SUMIFS(Penalty!$C$10:$C$12,Penalty!$B$10:$B$12,"&lt;"&amp;A1028))</f>
        <v>12000</v>
      </c>
      <c r="D1028" s="25" t="n">
        <f aca="false">IF(A1028&lt;=Penalty!$B$8,C1028+F1027+IF(A1028&gt;Penalty!$B$19,Penalty!$I$5,0)+G1027,0)</f>
        <v>0</v>
      </c>
      <c r="E1028" s="26" t="n">
        <f aca="false">D1028*B1028/365</f>
        <v>0</v>
      </c>
      <c r="F1028" s="25" t="n">
        <f aca="false">F1027+E1028*(1-IF(D1028&gt;0,(IF(A1028&gt;Penalty!$B$19,Penalty!$I$5,0)+G1027)/D1028,0))</f>
        <v>345.789278153858</v>
      </c>
      <c r="G1028" s="25" t="n">
        <f aca="false">G1027+E1028*IF(D1028&gt;0,(IF(A1028&gt;Penalty!$B$19,Penalty!$I$5,0)+G1027)/D1028,0)</f>
        <v>46.6815525507708</v>
      </c>
    </row>
    <row r="1029" customFormat="false" ht="15" hidden="false" customHeight="false" outlineLevel="0" collapsed="false">
      <c r="A1029" s="23" t="n">
        <f aca="false">Penalty!$B$5+1025</f>
        <v>47152</v>
      </c>
      <c r="B1029" s="24" t="n">
        <f aca="false">IF(YEAR(A1029)&gt;2026,Penalty!$B$16/100,IFERROR(INDEX(Rates!$B$4:$E$15,MATCH(YEAR(A1029),Rates!$A$4:$A$15,0),ROUNDUP(MONTH(A1029)/3,0))/100,0.03))</f>
        <v>0.07</v>
      </c>
      <c r="C1029" s="25" t="n">
        <f aca="false">MAX(0,Penalty!$B$4-SUMIFS(Penalty!$C$10:$C$12,Penalty!$B$10:$B$12,"&lt;"&amp;A1029))</f>
        <v>12000</v>
      </c>
      <c r="D1029" s="25" t="n">
        <f aca="false">IF(A1029&lt;=Penalty!$B$8,C1029+F1028+IF(A1029&gt;Penalty!$B$19,Penalty!$I$5,0)+G1028,0)</f>
        <v>0</v>
      </c>
      <c r="E1029" s="26" t="n">
        <f aca="false">D1029*B1029/365</f>
        <v>0</v>
      </c>
      <c r="F1029" s="25" t="n">
        <f aca="false">F1028+E1029*(1-IF(D1029&gt;0,(IF(A1029&gt;Penalty!$B$19,Penalty!$I$5,0)+G1028)/D1029,0))</f>
        <v>345.789278153858</v>
      </c>
      <c r="G1029" s="25" t="n">
        <f aca="false">G1028+E1029*IF(D1029&gt;0,(IF(A1029&gt;Penalty!$B$19,Penalty!$I$5,0)+G1028)/D1029,0)</f>
        <v>46.6815525507708</v>
      </c>
    </row>
    <row r="1030" customFormat="false" ht="15" hidden="false" customHeight="false" outlineLevel="0" collapsed="false">
      <c r="A1030" s="23" t="n">
        <f aca="false">Penalty!$B$5+1026</f>
        <v>47153</v>
      </c>
      <c r="B1030" s="24" t="n">
        <f aca="false">IF(YEAR(A1030)&gt;2026,Penalty!$B$16/100,IFERROR(INDEX(Rates!$B$4:$E$15,MATCH(YEAR(A1030),Rates!$A$4:$A$15,0),ROUNDUP(MONTH(A1030)/3,0))/100,0.03))</f>
        <v>0.07</v>
      </c>
      <c r="C1030" s="25" t="n">
        <f aca="false">MAX(0,Penalty!$B$4-SUMIFS(Penalty!$C$10:$C$12,Penalty!$B$10:$B$12,"&lt;"&amp;A1030))</f>
        <v>12000</v>
      </c>
      <c r="D1030" s="25" t="n">
        <f aca="false">IF(A1030&lt;=Penalty!$B$8,C1030+F1029+IF(A1030&gt;Penalty!$B$19,Penalty!$I$5,0)+G1029,0)</f>
        <v>0</v>
      </c>
      <c r="E1030" s="26" t="n">
        <f aca="false">D1030*B1030/365</f>
        <v>0</v>
      </c>
      <c r="F1030" s="25" t="n">
        <f aca="false">F1029+E1030*(1-IF(D1030&gt;0,(IF(A1030&gt;Penalty!$B$19,Penalty!$I$5,0)+G1029)/D1030,0))</f>
        <v>345.789278153858</v>
      </c>
      <c r="G1030" s="25" t="n">
        <f aca="false">G1029+E1030*IF(D1030&gt;0,(IF(A1030&gt;Penalty!$B$19,Penalty!$I$5,0)+G1029)/D1030,0)</f>
        <v>46.6815525507708</v>
      </c>
    </row>
    <row r="1031" customFormat="false" ht="15" hidden="false" customHeight="false" outlineLevel="0" collapsed="false">
      <c r="A1031" s="23" t="n">
        <f aca="false">Penalty!$B$5+1027</f>
        <v>47154</v>
      </c>
      <c r="B1031" s="24" t="n">
        <f aca="false">IF(YEAR(A1031)&gt;2026,Penalty!$B$16/100,IFERROR(INDEX(Rates!$B$4:$E$15,MATCH(YEAR(A1031),Rates!$A$4:$A$15,0),ROUNDUP(MONTH(A1031)/3,0))/100,0.03))</f>
        <v>0.07</v>
      </c>
      <c r="C1031" s="25" t="n">
        <f aca="false">MAX(0,Penalty!$B$4-SUMIFS(Penalty!$C$10:$C$12,Penalty!$B$10:$B$12,"&lt;"&amp;A1031))</f>
        <v>12000</v>
      </c>
      <c r="D1031" s="25" t="n">
        <f aca="false">IF(A1031&lt;=Penalty!$B$8,C1031+F1030+IF(A1031&gt;Penalty!$B$19,Penalty!$I$5,0)+G1030,0)</f>
        <v>0</v>
      </c>
      <c r="E1031" s="26" t="n">
        <f aca="false">D1031*B1031/365</f>
        <v>0</v>
      </c>
      <c r="F1031" s="25" t="n">
        <f aca="false">F1030+E1031*(1-IF(D1031&gt;0,(IF(A1031&gt;Penalty!$B$19,Penalty!$I$5,0)+G1030)/D1031,0))</f>
        <v>345.789278153858</v>
      </c>
      <c r="G1031" s="25" t="n">
        <f aca="false">G1030+E1031*IF(D1031&gt;0,(IF(A1031&gt;Penalty!$B$19,Penalty!$I$5,0)+G1030)/D1031,0)</f>
        <v>46.6815525507708</v>
      </c>
    </row>
    <row r="1032" customFormat="false" ht="15" hidden="false" customHeight="false" outlineLevel="0" collapsed="false">
      <c r="A1032" s="23" t="n">
        <f aca="false">Penalty!$B$5+1028</f>
        <v>47155</v>
      </c>
      <c r="B1032" s="24" t="n">
        <f aca="false">IF(YEAR(A1032)&gt;2026,Penalty!$B$16/100,IFERROR(INDEX(Rates!$B$4:$E$15,MATCH(YEAR(A1032),Rates!$A$4:$A$15,0),ROUNDUP(MONTH(A1032)/3,0))/100,0.03))</f>
        <v>0.07</v>
      </c>
      <c r="C1032" s="25" t="n">
        <f aca="false">MAX(0,Penalty!$B$4-SUMIFS(Penalty!$C$10:$C$12,Penalty!$B$10:$B$12,"&lt;"&amp;A1032))</f>
        <v>12000</v>
      </c>
      <c r="D1032" s="25" t="n">
        <f aca="false">IF(A1032&lt;=Penalty!$B$8,C1032+F1031+IF(A1032&gt;Penalty!$B$19,Penalty!$I$5,0)+G1031,0)</f>
        <v>0</v>
      </c>
      <c r="E1032" s="26" t="n">
        <f aca="false">D1032*B1032/365</f>
        <v>0</v>
      </c>
      <c r="F1032" s="25" t="n">
        <f aca="false">F1031+E1032*(1-IF(D1032&gt;0,(IF(A1032&gt;Penalty!$B$19,Penalty!$I$5,0)+G1031)/D1032,0))</f>
        <v>345.789278153858</v>
      </c>
      <c r="G1032" s="25" t="n">
        <f aca="false">G1031+E1032*IF(D1032&gt;0,(IF(A1032&gt;Penalty!$B$19,Penalty!$I$5,0)+G1031)/D1032,0)</f>
        <v>46.6815525507708</v>
      </c>
    </row>
    <row r="1033" customFormat="false" ht="15" hidden="false" customHeight="false" outlineLevel="0" collapsed="false">
      <c r="A1033" s="23" t="n">
        <f aca="false">Penalty!$B$5+1029</f>
        <v>47156</v>
      </c>
      <c r="B1033" s="24" t="n">
        <f aca="false">IF(YEAR(A1033)&gt;2026,Penalty!$B$16/100,IFERROR(INDEX(Rates!$B$4:$E$15,MATCH(YEAR(A1033),Rates!$A$4:$A$15,0),ROUNDUP(MONTH(A1033)/3,0))/100,0.03))</f>
        <v>0.07</v>
      </c>
      <c r="C1033" s="25" t="n">
        <f aca="false">MAX(0,Penalty!$B$4-SUMIFS(Penalty!$C$10:$C$12,Penalty!$B$10:$B$12,"&lt;"&amp;A1033))</f>
        <v>12000</v>
      </c>
      <c r="D1033" s="25" t="n">
        <f aca="false">IF(A1033&lt;=Penalty!$B$8,C1033+F1032+IF(A1033&gt;Penalty!$B$19,Penalty!$I$5,0)+G1032,0)</f>
        <v>0</v>
      </c>
      <c r="E1033" s="26" t="n">
        <f aca="false">D1033*B1033/365</f>
        <v>0</v>
      </c>
      <c r="F1033" s="25" t="n">
        <f aca="false">F1032+E1033*(1-IF(D1033&gt;0,(IF(A1033&gt;Penalty!$B$19,Penalty!$I$5,0)+G1032)/D1033,0))</f>
        <v>345.789278153858</v>
      </c>
      <c r="G1033" s="25" t="n">
        <f aca="false">G1032+E1033*IF(D1033&gt;0,(IF(A1033&gt;Penalty!$B$19,Penalty!$I$5,0)+G1032)/D1033,0)</f>
        <v>46.6815525507708</v>
      </c>
    </row>
    <row r="1034" customFormat="false" ht="15" hidden="false" customHeight="false" outlineLevel="0" collapsed="false">
      <c r="A1034" s="23" t="n">
        <f aca="false">Penalty!$B$5+1030</f>
        <v>47157</v>
      </c>
      <c r="B1034" s="24" t="n">
        <f aca="false">IF(YEAR(A1034)&gt;2026,Penalty!$B$16/100,IFERROR(INDEX(Rates!$B$4:$E$15,MATCH(YEAR(A1034),Rates!$A$4:$A$15,0),ROUNDUP(MONTH(A1034)/3,0))/100,0.03))</f>
        <v>0.07</v>
      </c>
      <c r="C1034" s="25" t="n">
        <f aca="false">MAX(0,Penalty!$B$4-SUMIFS(Penalty!$C$10:$C$12,Penalty!$B$10:$B$12,"&lt;"&amp;A1034))</f>
        <v>12000</v>
      </c>
      <c r="D1034" s="25" t="n">
        <f aca="false">IF(A1034&lt;=Penalty!$B$8,C1034+F1033+IF(A1034&gt;Penalty!$B$19,Penalty!$I$5,0)+G1033,0)</f>
        <v>0</v>
      </c>
      <c r="E1034" s="26" t="n">
        <f aca="false">D1034*B1034/365</f>
        <v>0</v>
      </c>
      <c r="F1034" s="25" t="n">
        <f aca="false">F1033+E1034*(1-IF(D1034&gt;0,(IF(A1034&gt;Penalty!$B$19,Penalty!$I$5,0)+G1033)/D1034,0))</f>
        <v>345.789278153858</v>
      </c>
      <c r="G1034" s="25" t="n">
        <f aca="false">G1033+E1034*IF(D1034&gt;0,(IF(A1034&gt;Penalty!$B$19,Penalty!$I$5,0)+G1033)/D1034,0)</f>
        <v>46.6815525507708</v>
      </c>
    </row>
    <row r="1035" customFormat="false" ht="15" hidden="false" customHeight="false" outlineLevel="0" collapsed="false">
      <c r="A1035" s="23" t="n">
        <f aca="false">Penalty!$B$5+1031</f>
        <v>47158</v>
      </c>
      <c r="B1035" s="24" t="n">
        <f aca="false">IF(YEAR(A1035)&gt;2026,Penalty!$B$16/100,IFERROR(INDEX(Rates!$B$4:$E$15,MATCH(YEAR(A1035),Rates!$A$4:$A$15,0),ROUNDUP(MONTH(A1035)/3,0))/100,0.03))</f>
        <v>0.07</v>
      </c>
      <c r="C1035" s="25" t="n">
        <f aca="false">MAX(0,Penalty!$B$4-SUMIFS(Penalty!$C$10:$C$12,Penalty!$B$10:$B$12,"&lt;"&amp;A1035))</f>
        <v>12000</v>
      </c>
      <c r="D1035" s="25" t="n">
        <f aca="false">IF(A1035&lt;=Penalty!$B$8,C1035+F1034+IF(A1035&gt;Penalty!$B$19,Penalty!$I$5,0)+G1034,0)</f>
        <v>0</v>
      </c>
      <c r="E1035" s="26" t="n">
        <f aca="false">D1035*B1035/365</f>
        <v>0</v>
      </c>
      <c r="F1035" s="25" t="n">
        <f aca="false">F1034+E1035*(1-IF(D1035&gt;0,(IF(A1035&gt;Penalty!$B$19,Penalty!$I$5,0)+G1034)/D1035,0))</f>
        <v>345.789278153858</v>
      </c>
      <c r="G1035" s="25" t="n">
        <f aca="false">G1034+E1035*IF(D1035&gt;0,(IF(A1035&gt;Penalty!$B$19,Penalty!$I$5,0)+G1034)/D1035,0)</f>
        <v>46.6815525507708</v>
      </c>
    </row>
    <row r="1036" customFormat="false" ht="15" hidden="false" customHeight="false" outlineLevel="0" collapsed="false">
      <c r="A1036" s="23" t="n">
        <f aca="false">Penalty!$B$5+1032</f>
        <v>47159</v>
      </c>
      <c r="B1036" s="24" t="n">
        <f aca="false">IF(YEAR(A1036)&gt;2026,Penalty!$B$16/100,IFERROR(INDEX(Rates!$B$4:$E$15,MATCH(YEAR(A1036),Rates!$A$4:$A$15,0),ROUNDUP(MONTH(A1036)/3,0))/100,0.03))</f>
        <v>0.07</v>
      </c>
      <c r="C1036" s="25" t="n">
        <f aca="false">MAX(0,Penalty!$B$4-SUMIFS(Penalty!$C$10:$C$12,Penalty!$B$10:$B$12,"&lt;"&amp;A1036))</f>
        <v>12000</v>
      </c>
      <c r="D1036" s="25" t="n">
        <f aca="false">IF(A1036&lt;=Penalty!$B$8,C1036+F1035+IF(A1036&gt;Penalty!$B$19,Penalty!$I$5,0)+G1035,0)</f>
        <v>0</v>
      </c>
      <c r="E1036" s="26" t="n">
        <f aca="false">D1036*B1036/365</f>
        <v>0</v>
      </c>
      <c r="F1036" s="25" t="n">
        <f aca="false">F1035+E1036*(1-IF(D1036&gt;0,(IF(A1036&gt;Penalty!$B$19,Penalty!$I$5,0)+G1035)/D1036,0))</f>
        <v>345.789278153858</v>
      </c>
      <c r="G1036" s="25" t="n">
        <f aca="false">G1035+E1036*IF(D1036&gt;0,(IF(A1036&gt;Penalty!$B$19,Penalty!$I$5,0)+G1035)/D1036,0)</f>
        <v>46.6815525507708</v>
      </c>
    </row>
    <row r="1037" customFormat="false" ht="15" hidden="false" customHeight="false" outlineLevel="0" collapsed="false">
      <c r="A1037" s="23" t="n">
        <f aca="false">Penalty!$B$5+1033</f>
        <v>47160</v>
      </c>
      <c r="B1037" s="24" t="n">
        <f aca="false">IF(YEAR(A1037)&gt;2026,Penalty!$B$16/100,IFERROR(INDEX(Rates!$B$4:$E$15,MATCH(YEAR(A1037),Rates!$A$4:$A$15,0),ROUNDUP(MONTH(A1037)/3,0))/100,0.03))</f>
        <v>0.07</v>
      </c>
      <c r="C1037" s="25" t="n">
        <f aca="false">MAX(0,Penalty!$B$4-SUMIFS(Penalty!$C$10:$C$12,Penalty!$B$10:$B$12,"&lt;"&amp;A1037))</f>
        <v>12000</v>
      </c>
      <c r="D1037" s="25" t="n">
        <f aca="false">IF(A1037&lt;=Penalty!$B$8,C1037+F1036+IF(A1037&gt;Penalty!$B$19,Penalty!$I$5,0)+G1036,0)</f>
        <v>0</v>
      </c>
      <c r="E1037" s="26" t="n">
        <f aca="false">D1037*B1037/365</f>
        <v>0</v>
      </c>
      <c r="F1037" s="25" t="n">
        <f aca="false">F1036+E1037*(1-IF(D1037&gt;0,(IF(A1037&gt;Penalty!$B$19,Penalty!$I$5,0)+G1036)/D1037,0))</f>
        <v>345.789278153858</v>
      </c>
      <c r="G1037" s="25" t="n">
        <f aca="false">G1036+E1037*IF(D1037&gt;0,(IF(A1037&gt;Penalty!$B$19,Penalty!$I$5,0)+G1036)/D1037,0)</f>
        <v>46.6815525507708</v>
      </c>
    </row>
    <row r="1038" customFormat="false" ht="15" hidden="false" customHeight="false" outlineLevel="0" collapsed="false">
      <c r="A1038" s="23" t="n">
        <f aca="false">Penalty!$B$5+1034</f>
        <v>47161</v>
      </c>
      <c r="B1038" s="24" t="n">
        <f aca="false">IF(YEAR(A1038)&gt;2026,Penalty!$B$16/100,IFERROR(INDEX(Rates!$B$4:$E$15,MATCH(YEAR(A1038),Rates!$A$4:$A$15,0),ROUNDUP(MONTH(A1038)/3,0))/100,0.03))</f>
        <v>0.07</v>
      </c>
      <c r="C1038" s="25" t="n">
        <f aca="false">MAX(0,Penalty!$B$4-SUMIFS(Penalty!$C$10:$C$12,Penalty!$B$10:$B$12,"&lt;"&amp;A1038))</f>
        <v>12000</v>
      </c>
      <c r="D1038" s="25" t="n">
        <f aca="false">IF(A1038&lt;=Penalty!$B$8,C1038+F1037+IF(A1038&gt;Penalty!$B$19,Penalty!$I$5,0)+G1037,0)</f>
        <v>0</v>
      </c>
      <c r="E1038" s="26" t="n">
        <f aca="false">D1038*B1038/365</f>
        <v>0</v>
      </c>
      <c r="F1038" s="25" t="n">
        <f aca="false">F1037+E1038*(1-IF(D1038&gt;0,(IF(A1038&gt;Penalty!$B$19,Penalty!$I$5,0)+G1037)/D1038,0))</f>
        <v>345.789278153858</v>
      </c>
      <c r="G1038" s="25" t="n">
        <f aca="false">G1037+E1038*IF(D1038&gt;0,(IF(A1038&gt;Penalty!$B$19,Penalty!$I$5,0)+G1037)/D1038,0)</f>
        <v>46.6815525507708</v>
      </c>
    </row>
    <row r="1039" customFormat="false" ht="15" hidden="false" customHeight="false" outlineLevel="0" collapsed="false">
      <c r="A1039" s="23" t="n">
        <f aca="false">Penalty!$B$5+1035</f>
        <v>47162</v>
      </c>
      <c r="B1039" s="24" t="n">
        <f aca="false">IF(YEAR(A1039)&gt;2026,Penalty!$B$16/100,IFERROR(INDEX(Rates!$B$4:$E$15,MATCH(YEAR(A1039),Rates!$A$4:$A$15,0),ROUNDUP(MONTH(A1039)/3,0))/100,0.03))</f>
        <v>0.07</v>
      </c>
      <c r="C1039" s="25" t="n">
        <f aca="false">MAX(0,Penalty!$B$4-SUMIFS(Penalty!$C$10:$C$12,Penalty!$B$10:$B$12,"&lt;"&amp;A1039))</f>
        <v>12000</v>
      </c>
      <c r="D1039" s="25" t="n">
        <f aca="false">IF(A1039&lt;=Penalty!$B$8,C1039+F1038+IF(A1039&gt;Penalty!$B$19,Penalty!$I$5,0)+G1038,0)</f>
        <v>0</v>
      </c>
      <c r="E1039" s="26" t="n">
        <f aca="false">D1039*B1039/365</f>
        <v>0</v>
      </c>
      <c r="F1039" s="25" t="n">
        <f aca="false">F1038+E1039*(1-IF(D1039&gt;0,(IF(A1039&gt;Penalty!$B$19,Penalty!$I$5,0)+G1038)/D1039,0))</f>
        <v>345.789278153858</v>
      </c>
      <c r="G1039" s="25" t="n">
        <f aca="false">G1038+E1039*IF(D1039&gt;0,(IF(A1039&gt;Penalty!$B$19,Penalty!$I$5,0)+G1038)/D1039,0)</f>
        <v>46.6815525507708</v>
      </c>
    </row>
    <row r="1040" customFormat="false" ht="15" hidden="false" customHeight="false" outlineLevel="0" collapsed="false">
      <c r="A1040" s="23" t="n">
        <f aca="false">Penalty!$B$5+1036</f>
        <v>47163</v>
      </c>
      <c r="B1040" s="24" t="n">
        <f aca="false">IF(YEAR(A1040)&gt;2026,Penalty!$B$16/100,IFERROR(INDEX(Rates!$B$4:$E$15,MATCH(YEAR(A1040),Rates!$A$4:$A$15,0),ROUNDUP(MONTH(A1040)/3,0))/100,0.03))</f>
        <v>0.07</v>
      </c>
      <c r="C1040" s="25" t="n">
        <f aca="false">MAX(0,Penalty!$B$4-SUMIFS(Penalty!$C$10:$C$12,Penalty!$B$10:$B$12,"&lt;"&amp;A1040))</f>
        <v>12000</v>
      </c>
      <c r="D1040" s="25" t="n">
        <f aca="false">IF(A1040&lt;=Penalty!$B$8,C1040+F1039+IF(A1040&gt;Penalty!$B$19,Penalty!$I$5,0)+G1039,0)</f>
        <v>0</v>
      </c>
      <c r="E1040" s="26" t="n">
        <f aca="false">D1040*B1040/365</f>
        <v>0</v>
      </c>
      <c r="F1040" s="25" t="n">
        <f aca="false">F1039+E1040*(1-IF(D1040&gt;0,(IF(A1040&gt;Penalty!$B$19,Penalty!$I$5,0)+G1039)/D1040,0))</f>
        <v>345.789278153858</v>
      </c>
      <c r="G1040" s="25" t="n">
        <f aca="false">G1039+E1040*IF(D1040&gt;0,(IF(A1040&gt;Penalty!$B$19,Penalty!$I$5,0)+G1039)/D1040,0)</f>
        <v>46.6815525507708</v>
      </c>
    </row>
    <row r="1041" customFormat="false" ht="15" hidden="false" customHeight="false" outlineLevel="0" collapsed="false">
      <c r="A1041" s="23" t="n">
        <f aca="false">Penalty!$B$5+1037</f>
        <v>47164</v>
      </c>
      <c r="B1041" s="24" t="n">
        <f aca="false">IF(YEAR(A1041)&gt;2026,Penalty!$B$16/100,IFERROR(INDEX(Rates!$B$4:$E$15,MATCH(YEAR(A1041),Rates!$A$4:$A$15,0),ROUNDUP(MONTH(A1041)/3,0))/100,0.03))</f>
        <v>0.07</v>
      </c>
      <c r="C1041" s="25" t="n">
        <f aca="false">MAX(0,Penalty!$B$4-SUMIFS(Penalty!$C$10:$C$12,Penalty!$B$10:$B$12,"&lt;"&amp;A1041))</f>
        <v>12000</v>
      </c>
      <c r="D1041" s="25" t="n">
        <f aca="false">IF(A1041&lt;=Penalty!$B$8,C1041+F1040+IF(A1041&gt;Penalty!$B$19,Penalty!$I$5,0)+G1040,0)</f>
        <v>0</v>
      </c>
      <c r="E1041" s="26" t="n">
        <f aca="false">D1041*B1041/365</f>
        <v>0</v>
      </c>
      <c r="F1041" s="25" t="n">
        <f aca="false">F1040+E1041*(1-IF(D1041&gt;0,(IF(A1041&gt;Penalty!$B$19,Penalty!$I$5,0)+G1040)/D1041,0))</f>
        <v>345.789278153858</v>
      </c>
      <c r="G1041" s="25" t="n">
        <f aca="false">G1040+E1041*IF(D1041&gt;0,(IF(A1041&gt;Penalty!$B$19,Penalty!$I$5,0)+G1040)/D1041,0)</f>
        <v>46.6815525507708</v>
      </c>
    </row>
    <row r="1042" customFormat="false" ht="15" hidden="false" customHeight="false" outlineLevel="0" collapsed="false">
      <c r="A1042" s="23" t="n">
        <f aca="false">Penalty!$B$5+1038</f>
        <v>47165</v>
      </c>
      <c r="B1042" s="24" t="n">
        <f aca="false">IF(YEAR(A1042)&gt;2026,Penalty!$B$16/100,IFERROR(INDEX(Rates!$B$4:$E$15,MATCH(YEAR(A1042),Rates!$A$4:$A$15,0),ROUNDUP(MONTH(A1042)/3,0))/100,0.03))</f>
        <v>0.07</v>
      </c>
      <c r="C1042" s="25" t="n">
        <f aca="false">MAX(0,Penalty!$B$4-SUMIFS(Penalty!$C$10:$C$12,Penalty!$B$10:$B$12,"&lt;"&amp;A1042))</f>
        <v>12000</v>
      </c>
      <c r="D1042" s="25" t="n">
        <f aca="false">IF(A1042&lt;=Penalty!$B$8,C1042+F1041+IF(A1042&gt;Penalty!$B$19,Penalty!$I$5,0)+G1041,0)</f>
        <v>0</v>
      </c>
      <c r="E1042" s="26" t="n">
        <f aca="false">D1042*B1042/365</f>
        <v>0</v>
      </c>
      <c r="F1042" s="25" t="n">
        <f aca="false">F1041+E1042*(1-IF(D1042&gt;0,(IF(A1042&gt;Penalty!$B$19,Penalty!$I$5,0)+G1041)/D1042,0))</f>
        <v>345.789278153858</v>
      </c>
      <c r="G1042" s="25" t="n">
        <f aca="false">G1041+E1042*IF(D1042&gt;0,(IF(A1042&gt;Penalty!$B$19,Penalty!$I$5,0)+G1041)/D1042,0)</f>
        <v>46.6815525507708</v>
      </c>
    </row>
    <row r="1043" customFormat="false" ht="15" hidden="false" customHeight="false" outlineLevel="0" collapsed="false">
      <c r="A1043" s="23" t="n">
        <f aca="false">Penalty!$B$5+1039</f>
        <v>47166</v>
      </c>
      <c r="B1043" s="24" t="n">
        <f aca="false">IF(YEAR(A1043)&gt;2026,Penalty!$B$16/100,IFERROR(INDEX(Rates!$B$4:$E$15,MATCH(YEAR(A1043),Rates!$A$4:$A$15,0),ROUNDUP(MONTH(A1043)/3,0))/100,0.03))</f>
        <v>0.07</v>
      </c>
      <c r="C1043" s="25" t="n">
        <f aca="false">MAX(0,Penalty!$B$4-SUMIFS(Penalty!$C$10:$C$12,Penalty!$B$10:$B$12,"&lt;"&amp;A1043))</f>
        <v>12000</v>
      </c>
      <c r="D1043" s="25" t="n">
        <f aca="false">IF(A1043&lt;=Penalty!$B$8,C1043+F1042+IF(A1043&gt;Penalty!$B$19,Penalty!$I$5,0)+G1042,0)</f>
        <v>0</v>
      </c>
      <c r="E1043" s="26" t="n">
        <f aca="false">D1043*B1043/365</f>
        <v>0</v>
      </c>
      <c r="F1043" s="25" t="n">
        <f aca="false">F1042+E1043*(1-IF(D1043&gt;0,(IF(A1043&gt;Penalty!$B$19,Penalty!$I$5,0)+G1042)/D1043,0))</f>
        <v>345.789278153858</v>
      </c>
      <c r="G1043" s="25" t="n">
        <f aca="false">G1042+E1043*IF(D1043&gt;0,(IF(A1043&gt;Penalty!$B$19,Penalty!$I$5,0)+G1042)/D1043,0)</f>
        <v>46.6815525507708</v>
      </c>
    </row>
    <row r="1044" customFormat="false" ht="15" hidden="false" customHeight="false" outlineLevel="0" collapsed="false">
      <c r="A1044" s="23" t="n">
        <f aca="false">Penalty!$B$5+1040</f>
        <v>47167</v>
      </c>
      <c r="B1044" s="24" t="n">
        <f aca="false">IF(YEAR(A1044)&gt;2026,Penalty!$B$16/100,IFERROR(INDEX(Rates!$B$4:$E$15,MATCH(YEAR(A1044),Rates!$A$4:$A$15,0),ROUNDUP(MONTH(A1044)/3,0))/100,0.03))</f>
        <v>0.07</v>
      </c>
      <c r="C1044" s="25" t="n">
        <f aca="false">MAX(0,Penalty!$B$4-SUMIFS(Penalty!$C$10:$C$12,Penalty!$B$10:$B$12,"&lt;"&amp;A1044))</f>
        <v>12000</v>
      </c>
      <c r="D1044" s="25" t="n">
        <f aca="false">IF(A1044&lt;=Penalty!$B$8,C1044+F1043+IF(A1044&gt;Penalty!$B$19,Penalty!$I$5,0)+G1043,0)</f>
        <v>0</v>
      </c>
      <c r="E1044" s="26" t="n">
        <f aca="false">D1044*B1044/365</f>
        <v>0</v>
      </c>
      <c r="F1044" s="25" t="n">
        <f aca="false">F1043+E1044*(1-IF(D1044&gt;0,(IF(A1044&gt;Penalty!$B$19,Penalty!$I$5,0)+G1043)/D1044,0))</f>
        <v>345.789278153858</v>
      </c>
      <c r="G1044" s="25" t="n">
        <f aca="false">G1043+E1044*IF(D1044&gt;0,(IF(A1044&gt;Penalty!$B$19,Penalty!$I$5,0)+G1043)/D1044,0)</f>
        <v>46.6815525507708</v>
      </c>
    </row>
    <row r="1045" customFormat="false" ht="15" hidden="false" customHeight="false" outlineLevel="0" collapsed="false">
      <c r="A1045" s="23" t="n">
        <f aca="false">Penalty!$B$5+1041</f>
        <v>47168</v>
      </c>
      <c r="B1045" s="24" t="n">
        <f aca="false">IF(YEAR(A1045)&gt;2026,Penalty!$B$16/100,IFERROR(INDEX(Rates!$B$4:$E$15,MATCH(YEAR(A1045),Rates!$A$4:$A$15,0),ROUNDUP(MONTH(A1045)/3,0))/100,0.03))</f>
        <v>0.07</v>
      </c>
      <c r="C1045" s="25" t="n">
        <f aca="false">MAX(0,Penalty!$B$4-SUMIFS(Penalty!$C$10:$C$12,Penalty!$B$10:$B$12,"&lt;"&amp;A1045))</f>
        <v>12000</v>
      </c>
      <c r="D1045" s="25" t="n">
        <f aca="false">IF(A1045&lt;=Penalty!$B$8,C1045+F1044+IF(A1045&gt;Penalty!$B$19,Penalty!$I$5,0)+G1044,0)</f>
        <v>0</v>
      </c>
      <c r="E1045" s="26" t="n">
        <f aca="false">D1045*B1045/365</f>
        <v>0</v>
      </c>
      <c r="F1045" s="25" t="n">
        <f aca="false">F1044+E1045*(1-IF(D1045&gt;0,(IF(A1045&gt;Penalty!$B$19,Penalty!$I$5,0)+G1044)/D1045,0))</f>
        <v>345.789278153858</v>
      </c>
      <c r="G1045" s="25" t="n">
        <f aca="false">G1044+E1045*IF(D1045&gt;0,(IF(A1045&gt;Penalty!$B$19,Penalty!$I$5,0)+G1044)/D1045,0)</f>
        <v>46.6815525507708</v>
      </c>
    </row>
    <row r="1046" customFormat="false" ht="15" hidden="false" customHeight="false" outlineLevel="0" collapsed="false">
      <c r="A1046" s="23" t="n">
        <f aca="false">Penalty!$B$5+1042</f>
        <v>47169</v>
      </c>
      <c r="B1046" s="24" t="n">
        <f aca="false">IF(YEAR(A1046)&gt;2026,Penalty!$B$16/100,IFERROR(INDEX(Rates!$B$4:$E$15,MATCH(YEAR(A1046),Rates!$A$4:$A$15,0),ROUNDUP(MONTH(A1046)/3,0))/100,0.03))</f>
        <v>0.07</v>
      </c>
      <c r="C1046" s="25" t="n">
        <f aca="false">MAX(0,Penalty!$B$4-SUMIFS(Penalty!$C$10:$C$12,Penalty!$B$10:$B$12,"&lt;"&amp;A1046))</f>
        <v>12000</v>
      </c>
      <c r="D1046" s="25" t="n">
        <f aca="false">IF(A1046&lt;=Penalty!$B$8,C1046+F1045+IF(A1046&gt;Penalty!$B$19,Penalty!$I$5,0)+G1045,0)</f>
        <v>0</v>
      </c>
      <c r="E1046" s="26" t="n">
        <f aca="false">D1046*B1046/365</f>
        <v>0</v>
      </c>
      <c r="F1046" s="25" t="n">
        <f aca="false">F1045+E1046*(1-IF(D1046&gt;0,(IF(A1046&gt;Penalty!$B$19,Penalty!$I$5,0)+G1045)/D1046,0))</f>
        <v>345.789278153858</v>
      </c>
      <c r="G1046" s="25" t="n">
        <f aca="false">G1045+E1046*IF(D1046&gt;0,(IF(A1046&gt;Penalty!$B$19,Penalty!$I$5,0)+G1045)/D1046,0)</f>
        <v>46.6815525507708</v>
      </c>
    </row>
    <row r="1047" customFormat="false" ht="15" hidden="false" customHeight="false" outlineLevel="0" collapsed="false">
      <c r="A1047" s="23" t="n">
        <f aca="false">Penalty!$B$5+1043</f>
        <v>47170</v>
      </c>
      <c r="B1047" s="24" t="n">
        <f aca="false">IF(YEAR(A1047)&gt;2026,Penalty!$B$16/100,IFERROR(INDEX(Rates!$B$4:$E$15,MATCH(YEAR(A1047),Rates!$A$4:$A$15,0),ROUNDUP(MONTH(A1047)/3,0))/100,0.03))</f>
        <v>0.07</v>
      </c>
      <c r="C1047" s="25" t="n">
        <f aca="false">MAX(0,Penalty!$B$4-SUMIFS(Penalty!$C$10:$C$12,Penalty!$B$10:$B$12,"&lt;"&amp;A1047))</f>
        <v>12000</v>
      </c>
      <c r="D1047" s="25" t="n">
        <f aca="false">IF(A1047&lt;=Penalty!$B$8,C1047+F1046+IF(A1047&gt;Penalty!$B$19,Penalty!$I$5,0)+G1046,0)</f>
        <v>0</v>
      </c>
      <c r="E1047" s="26" t="n">
        <f aca="false">D1047*B1047/365</f>
        <v>0</v>
      </c>
      <c r="F1047" s="25" t="n">
        <f aca="false">F1046+E1047*(1-IF(D1047&gt;0,(IF(A1047&gt;Penalty!$B$19,Penalty!$I$5,0)+G1046)/D1047,0))</f>
        <v>345.789278153858</v>
      </c>
      <c r="G1047" s="25" t="n">
        <f aca="false">G1046+E1047*IF(D1047&gt;0,(IF(A1047&gt;Penalty!$B$19,Penalty!$I$5,0)+G1046)/D1047,0)</f>
        <v>46.6815525507708</v>
      </c>
    </row>
    <row r="1048" customFormat="false" ht="15" hidden="false" customHeight="false" outlineLevel="0" collapsed="false">
      <c r="A1048" s="23" t="n">
        <f aca="false">Penalty!$B$5+1044</f>
        <v>47171</v>
      </c>
      <c r="B1048" s="24" t="n">
        <f aca="false">IF(YEAR(A1048)&gt;2026,Penalty!$B$16/100,IFERROR(INDEX(Rates!$B$4:$E$15,MATCH(YEAR(A1048),Rates!$A$4:$A$15,0),ROUNDUP(MONTH(A1048)/3,0))/100,0.03))</f>
        <v>0.07</v>
      </c>
      <c r="C1048" s="25" t="n">
        <f aca="false">MAX(0,Penalty!$B$4-SUMIFS(Penalty!$C$10:$C$12,Penalty!$B$10:$B$12,"&lt;"&amp;A1048))</f>
        <v>12000</v>
      </c>
      <c r="D1048" s="25" t="n">
        <f aca="false">IF(A1048&lt;=Penalty!$B$8,C1048+F1047+IF(A1048&gt;Penalty!$B$19,Penalty!$I$5,0)+G1047,0)</f>
        <v>0</v>
      </c>
      <c r="E1048" s="26" t="n">
        <f aca="false">D1048*B1048/365</f>
        <v>0</v>
      </c>
      <c r="F1048" s="25" t="n">
        <f aca="false">F1047+E1048*(1-IF(D1048&gt;0,(IF(A1048&gt;Penalty!$B$19,Penalty!$I$5,0)+G1047)/D1048,0))</f>
        <v>345.789278153858</v>
      </c>
      <c r="G1048" s="25" t="n">
        <f aca="false">G1047+E1048*IF(D1048&gt;0,(IF(A1048&gt;Penalty!$B$19,Penalty!$I$5,0)+G1047)/D1048,0)</f>
        <v>46.6815525507708</v>
      </c>
    </row>
    <row r="1049" customFormat="false" ht="15" hidden="false" customHeight="false" outlineLevel="0" collapsed="false">
      <c r="A1049" s="23" t="n">
        <f aca="false">Penalty!$B$5+1045</f>
        <v>47172</v>
      </c>
      <c r="B1049" s="24" t="n">
        <f aca="false">IF(YEAR(A1049)&gt;2026,Penalty!$B$16/100,IFERROR(INDEX(Rates!$B$4:$E$15,MATCH(YEAR(A1049),Rates!$A$4:$A$15,0),ROUNDUP(MONTH(A1049)/3,0))/100,0.03))</f>
        <v>0.07</v>
      </c>
      <c r="C1049" s="25" t="n">
        <f aca="false">MAX(0,Penalty!$B$4-SUMIFS(Penalty!$C$10:$C$12,Penalty!$B$10:$B$12,"&lt;"&amp;A1049))</f>
        <v>12000</v>
      </c>
      <c r="D1049" s="25" t="n">
        <f aca="false">IF(A1049&lt;=Penalty!$B$8,C1049+F1048+IF(A1049&gt;Penalty!$B$19,Penalty!$I$5,0)+G1048,0)</f>
        <v>0</v>
      </c>
      <c r="E1049" s="26" t="n">
        <f aca="false">D1049*B1049/365</f>
        <v>0</v>
      </c>
      <c r="F1049" s="25" t="n">
        <f aca="false">F1048+E1049*(1-IF(D1049&gt;0,(IF(A1049&gt;Penalty!$B$19,Penalty!$I$5,0)+G1048)/D1049,0))</f>
        <v>345.789278153858</v>
      </c>
      <c r="G1049" s="25" t="n">
        <f aca="false">G1048+E1049*IF(D1049&gt;0,(IF(A1049&gt;Penalty!$B$19,Penalty!$I$5,0)+G1048)/D1049,0)</f>
        <v>46.6815525507708</v>
      </c>
    </row>
    <row r="1050" customFormat="false" ht="15" hidden="false" customHeight="false" outlineLevel="0" collapsed="false">
      <c r="A1050" s="23" t="n">
        <f aca="false">Penalty!$B$5+1046</f>
        <v>47173</v>
      </c>
      <c r="B1050" s="24" t="n">
        <f aca="false">IF(YEAR(A1050)&gt;2026,Penalty!$B$16/100,IFERROR(INDEX(Rates!$B$4:$E$15,MATCH(YEAR(A1050),Rates!$A$4:$A$15,0),ROUNDUP(MONTH(A1050)/3,0))/100,0.03))</f>
        <v>0.07</v>
      </c>
      <c r="C1050" s="25" t="n">
        <f aca="false">MAX(0,Penalty!$B$4-SUMIFS(Penalty!$C$10:$C$12,Penalty!$B$10:$B$12,"&lt;"&amp;A1050))</f>
        <v>12000</v>
      </c>
      <c r="D1050" s="25" t="n">
        <f aca="false">IF(A1050&lt;=Penalty!$B$8,C1050+F1049+IF(A1050&gt;Penalty!$B$19,Penalty!$I$5,0)+G1049,0)</f>
        <v>0</v>
      </c>
      <c r="E1050" s="26" t="n">
        <f aca="false">D1050*B1050/365</f>
        <v>0</v>
      </c>
      <c r="F1050" s="25" t="n">
        <f aca="false">F1049+E1050*(1-IF(D1050&gt;0,(IF(A1050&gt;Penalty!$B$19,Penalty!$I$5,0)+G1049)/D1050,0))</f>
        <v>345.789278153858</v>
      </c>
      <c r="G1050" s="25" t="n">
        <f aca="false">G1049+E1050*IF(D1050&gt;0,(IF(A1050&gt;Penalty!$B$19,Penalty!$I$5,0)+G1049)/D1050,0)</f>
        <v>46.6815525507708</v>
      </c>
    </row>
    <row r="1051" customFormat="false" ht="15" hidden="false" customHeight="false" outlineLevel="0" collapsed="false">
      <c r="A1051" s="23" t="n">
        <f aca="false">Penalty!$B$5+1047</f>
        <v>47174</v>
      </c>
      <c r="B1051" s="24" t="n">
        <f aca="false">IF(YEAR(A1051)&gt;2026,Penalty!$B$16/100,IFERROR(INDEX(Rates!$B$4:$E$15,MATCH(YEAR(A1051),Rates!$A$4:$A$15,0),ROUNDUP(MONTH(A1051)/3,0))/100,0.03))</f>
        <v>0.07</v>
      </c>
      <c r="C1051" s="25" t="n">
        <f aca="false">MAX(0,Penalty!$B$4-SUMIFS(Penalty!$C$10:$C$12,Penalty!$B$10:$B$12,"&lt;"&amp;A1051))</f>
        <v>12000</v>
      </c>
      <c r="D1051" s="25" t="n">
        <f aca="false">IF(A1051&lt;=Penalty!$B$8,C1051+F1050+IF(A1051&gt;Penalty!$B$19,Penalty!$I$5,0)+G1050,0)</f>
        <v>0</v>
      </c>
      <c r="E1051" s="26" t="n">
        <f aca="false">D1051*B1051/365</f>
        <v>0</v>
      </c>
      <c r="F1051" s="25" t="n">
        <f aca="false">F1050+E1051*(1-IF(D1051&gt;0,(IF(A1051&gt;Penalty!$B$19,Penalty!$I$5,0)+G1050)/D1051,0))</f>
        <v>345.789278153858</v>
      </c>
      <c r="G1051" s="25" t="n">
        <f aca="false">G1050+E1051*IF(D1051&gt;0,(IF(A1051&gt;Penalty!$B$19,Penalty!$I$5,0)+G1050)/D1051,0)</f>
        <v>46.6815525507708</v>
      </c>
    </row>
    <row r="1052" customFormat="false" ht="15" hidden="false" customHeight="false" outlineLevel="0" collapsed="false">
      <c r="A1052" s="23" t="n">
        <f aca="false">Penalty!$B$5+1048</f>
        <v>47175</v>
      </c>
      <c r="B1052" s="24" t="n">
        <f aca="false">IF(YEAR(A1052)&gt;2026,Penalty!$B$16/100,IFERROR(INDEX(Rates!$B$4:$E$15,MATCH(YEAR(A1052),Rates!$A$4:$A$15,0),ROUNDUP(MONTH(A1052)/3,0))/100,0.03))</f>
        <v>0.07</v>
      </c>
      <c r="C1052" s="25" t="n">
        <f aca="false">MAX(0,Penalty!$B$4-SUMIFS(Penalty!$C$10:$C$12,Penalty!$B$10:$B$12,"&lt;"&amp;A1052))</f>
        <v>12000</v>
      </c>
      <c r="D1052" s="25" t="n">
        <f aca="false">IF(A1052&lt;=Penalty!$B$8,C1052+F1051+IF(A1052&gt;Penalty!$B$19,Penalty!$I$5,0)+G1051,0)</f>
        <v>0</v>
      </c>
      <c r="E1052" s="26" t="n">
        <f aca="false">D1052*B1052/365</f>
        <v>0</v>
      </c>
      <c r="F1052" s="25" t="n">
        <f aca="false">F1051+E1052*(1-IF(D1052&gt;0,(IF(A1052&gt;Penalty!$B$19,Penalty!$I$5,0)+G1051)/D1052,0))</f>
        <v>345.789278153858</v>
      </c>
      <c r="G1052" s="25" t="n">
        <f aca="false">G1051+E1052*IF(D1052&gt;0,(IF(A1052&gt;Penalty!$B$19,Penalty!$I$5,0)+G1051)/D1052,0)</f>
        <v>46.6815525507708</v>
      </c>
    </row>
    <row r="1053" customFormat="false" ht="15" hidden="false" customHeight="false" outlineLevel="0" collapsed="false">
      <c r="A1053" s="23" t="n">
        <f aca="false">Penalty!$B$5+1049</f>
        <v>47176</v>
      </c>
      <c r="B1053" s="24" t="n">
        <f aca="false">IF(YEAR(A1053)&gt;2026,Penalty!$B$16/100,IFERROR(INDEX(Rates!$B$4:$E$15,MATCH(YEAR(A1053),Rates!$A$4:$A$15,0),ROUNDUP(MONTH(A1053)/3,0))/100,0.03))</f>
        <v>0.07</v>
      </c>
      <c r="C1053" s="25" t="n">
        <f aca="false">MAX(0,Penalty!$B$4-SUMIFS(Penalty!$C$10:$C$12,Penalty!$B$10:$B$12,"&lt;"&amp;A1053))</f>
        <v>12000</v>
      </c>
      <c r="D1053" s="25" t="n">
        <f aca="false">IF(A1053&lt;=Penalty!$B$8,C1053+F1052+IF(A1053&gt;Penalty!$B$19,Penalty!$I$5,0)+G1052,0)</f>
        <v>0</v>
      </c>
      <c r="E1053" s="26" t="n">
        <f aca="false">D1053*B1053/365</f>
        <v>0</v>
      </c>
      <c r="F1053" s="25" t="n">
        <f aca="false">F1052+E1053*(1-IF(D1053&gt;0,(IF(A1053&gt;Penalty!$B$19,Penalty!$I$5,0)+G1052)/D1053,0))</f>
        <v>345.789278153858</v>
      </c>
      <c r="G1053" s="25" t="n">
        <f aca="false">G1052+E1053*IF(D1053&gt;0,(IF(A1053&gt;Penalty!$B$19,Penalty!$I$5,0)+G1052)/D1053,0)</f>
        <v>46.6815525507708</v>
      </c>
    </row>
    <row r="1054" customFormat="false" ht="15" hidden="false" customHeight="false" outlineLevel="0" collapsed="false">
      <c r="A1054" s="23" t="n">
        <f aca="false">Penalty!$B$5+1050</f>
        <v>47177</v>
      </c>
      <c r="B1054" s="24" t="n">
        <f aca="false">IF(YEAR(A1054)&gt;2026,Penalty!$B$16/100,IFERROR(INDEX(Rates!$B$4:$E$15,MATCH(YEAR(A1054),Rates!$A$4:$A$15,0),ROUNDUP(MONTH(A1054)/3,0))/100,0.03))</f>
        <v>0.07</v>
      </c>
      <c r="C1054" s="25" t="n">
        <f aca="false">MAX(0,Penalty!$B$4-SUMIFS(Penalty!$C$10:$C$12,Penalty!$B$10:$B$12,"&lt;"&amp;A1054))</f>
        <v>12000</v>
      </c>
      <c r="D1054" s="25" t="n">
        <f aca="false">IF(A1054&lt;=Penalty!$B$8,C1054+F1053+IF(A1054&gt;Penalty!$B$19,Penalty!$I$5,0)+G1053,0)</f>
        <v>0</v>
      </c>
      <c r="E1054" s="26" t="n">
        <f aca="false">D1054*B1054/365</f>
        <v>0</v>
      </c>
      <c r="F1054" s="25" t="n">
        <f aca="false">F1053+E1054*(1-IF(D1054&gt;0,(IF(A1054&gt;Penalty!$B$19,Penalty!$I$5,0)+G1053)/D1054,0))</f>
        <v>345.789278153858</v>
      </c>
      <c r="G1054" s="25" t="n">
        <f aca="false">G1053+E1054*IF(D1054&gt;0,(IF(A1054&gt;Penalty!$B$19,Penalty!$I$5,0)+G1053)/D1054,0)</f>
        <v>46.6815525507708</v>
      </c>
    </row>
    <row r="1055" customFormat="false" ht="15" hidden="false" customHeight="false" outlineLevel="0" collapsed="false">
      <c r="A1055" s="23" t="n">
        <f aca="false">Penalty!$B$5+1051</f>
        <v>47178</v>
      </c>
      <c r="B1055" s="24" t="n">
        <f aca="false">IF(YEAR(A1055)&gt;2026,Penalty!$B$16/100,IFERROR(INDEX(Rates!$B$4:$E$15,MATCH(YEAR(A1055),Rates!$A$4:$A$15,0),ROUNDUP(MONTH(A1055)/3,0))/100,0.03))</f>
        <v>0.07</v>
      </c>
      <c r="C1055" s="25" t="n">
        <f aca="false">MAX(0,Penalty!$B$4-SUMIFS(Penalty!$C$10:$C$12,Penalty!$B$10:$B$12,"&lt;"&amp;A1055))</f>
        <v>12000</v>
      </c>
      <c r="D1055" s="25" t="n">
        <f aca="false">IF(A1055&lt;=Penalty!$B$8,C1055+F1054+IF(A1055&gt;Penalty!$B$19,Penalty!$I$5,0)+G1054,0)</f>
        <v>0</v>
      </c>
      <c r="E1055" s="26" t="n">
        <f aca="false">D1055*B1055/365</f>
        <v>0</v>
      </c>
      <c r="F1055" s="25" t="n">
        <f aca="false">F1054+E1055*(1-IF(D1055&gt;0,(IF(A1055&gt;Penalty!$B$19,Penalty!$I$5,0)+G1054)/D1055,0))</f>
        <v>345.789278153858</v>
      </c>
      <c r="G1055" s="25" t="n">
        <f aca="false">G1054+E1055*IF(D1055&gt;0,(IF(A1055&gt;Penalty!$B$19,Penalty!$I$5,0)+G1054)/D1055,0)</f>
        <v>46.6815525507708</v>
      </c>
    </row>
    <row r="1056" customFormat="false" ht="15" hidden="false" customHeight="false" outlineLevel="0" collapsed="false">
      <c r="A1056" s="23" t="n">
        <f aca="false">Penalty!$B$5+1052</f>
        <v>47179</v>
      </c>
      <c r="B1056" s="24" t="n">
        <f aca="false">IF(YEAR(A1056)&gt;2026,Penalty!$B$16/100,IFERROR(INDEX(Rates!$B$4:$E$15,MATCH(YEAR(A1056),Rates!$A$4:$A$15,0),ROUNDUP(MONTH(A1056)/3,0))/100,0.03))</f>
        <v>0.07</v>
      </c>
      <c r="C1056" s="25" t="n">
        <f aca="false">MAX(0,Penalty!$B$4-SUMIFS(Penalty!$C$10:$C$12,Penalty!$B$10:$B$12,"&lt;"&amp;A1056))</f>
        <v>12000</v>
      </c>
      <c r="D1056" s="25" t="n">
        <f aca="false">IF(A1056&lt;=Penalty!$B$8,C1056+F1055+IF(A1056&gt;Penalty!$B$19,Penalty!$I$5,0)+G1055,0)</f>
        <v>0</v>
      </c>
      <c r="E1056" s="26" t="n">
        <f aca="false">D1056*B1056/365</f>
        <v>0</v>
      </c>
      <c r="F1056" s="25" t="n">
        <f aca="false">F1055+E1056*(1-IF(D1056&gt;0,(IF(A1056&gt;Penalty!$B$19,Penalty!$I$5,0)+G1055)/D1056,0))</f>
        <v>345.789278153858</v>
      </c>
      <c r="G1056" s="25" t="n">
        <f aca="false">G1055+E1056*IF(D1056&gt;0,(IF(A1056&gt;Penalty!$B$19,Penalty!$I$5,0)+G1055)/D1056,0)</f>
        <v>46.6815525507708</v>
      </c>
    </row>
    <row r="1057" customFormat="false" ht="15" hidden="false" customHeight="false" outlineLevel="0" collapsed="false">
      <c r="A1057" s="23" t="n">
        <f aca="false">Penalty!$B$5+1053</f>
        <v>47180</v>
      </c>
      <c r="B1057" s="24" t="n">
        <f aca="false">IF(YEAR(A1057)&gt;2026,Penalty!$B$16/100,IFERROR(INDEX(Rates!$B$4:$E$15,MATCH(YEAR(A1057),Rates!$A$4:$A$15,0),ROUNDUP(MONTH(A1057)/3,0))/100,0.03))</f>
        <v>0.07</v>
      </c>
      <c r="C1057" s="25" t="n">
        <f aca="false">MAX(0,Penalty!$B$4-SUMIFS(Penalty!$C$10:$C$12,Penalty!$B$10:$B$12,"&lt;"&amp;A1057))</f>
        <v>12000</v>
      </c>
      <c r="D1057" s="25" t="n">
        <f aca="false">IF(A1057&lt;=Penalty!$B$8,C1057+F1056+IF(A1057&gt;Penalty!$B$19,Penalty!$I$5,0)+G1056,0)</f>
        <v>0</v>
      </c>
      <c r="E1057" s="26" t="n">
        <f aca="false">D1057*B1057/365</f>
        <v>0</v>
      </c>
      <c r="F1057" s="25" t="n">
        <f aca="false">F1056+E1057*(1-IF(D1057&gt;0,(IF(A1057&gt;Penalty!$B$19,Penalty!$I$5,0)+G1056)/D1057,0))</f>
        <v>345.789278153858</v>
      </c>
      <c r="G1057" s="25" t="n">
        <f aca="false">G1056+E1057*IF(D1057&gt;0,(IF(A1057&gt;Penalty!$B$19,Penalty!$I$5,0)+G1056)/D1057,0)</f>
        <v>46.6815525507708</v>
      </c>
    </row>
    <row r="1058" customFormat="false" ht="15" hidden="false" customHeight="false" outlineLevel="0" collapsed="false">
      <c r="A1058" s="23" t="n">
        <f aca="false">Penalty!$B$5+1054</f>
        <v>47181</v>
      </c>
      <c r="B1058" s="24" t="n">
        <f aca="false">IF(YEAR(A1058)&gt;2026,Penalty!$B$16/100,IFERROR(INDEX(Rates!$B$4:$E$15,MATCH(YEAR(A1058),Rates!$A$4:$A$15,0),ROUNDUP(MONTH(A1058)/3,0))/100,0.03))</f>
        <v>0.07</v>
      </c>
      <c r="C1058" s="25" t="n">
        <f aca="false">MAX(0,Penalty!$B$4-SUMIFS(Penalty!$C$10:$C$12,Penalty!$B$10:$B$12,"&lt;"&amp;A1058))</f>
        <v>12000</v>
      </c>
      <c r="D1058" s="25" t="n">
        <f aca="false">IF(A1058&lt;=Penalty!$B$8,C1058+F1057+IF(A1058&gt;Penalty!$B$19,Penalty!$I$5,0)+G1057,0)</f>
        <v>0</v>
      </c>
      <c r="E1058" s="26" t="n">
        <f aca="false">D1058*B1058/365</f>
        <v>0</v>
      </c>
      <c r="F1058" s="25" t="n">
        <f aca="false">F1057+E1058*(1-IF(D1058&gt;0,(IF(A1058&gt;Penalty!$B$19,Penalty!$I$5,0)+G1057)/D1058,0))</f>
        <v>345.789278153858</v>
      </c>
      <c r="G1058" s="25" t="n">
        <f aca="false">G1057+E1058*IF(D1058&gt;0,(IF(A1058&gt;Penalty!$B$19,Penalty!$I$5,0)+G1057)/D1058,0)</f>
        <v>46.6815525507708</v>
      </c>
    </row>
    <row r="1059" customFormat="false" ht="15" hidden="false" customHeight="false" outlineLevel="0" collapsed="false">
      <c r="A1059" s="23" t="n">
        <f aca="false">Penalty!$B$5+1055</f>
        <v>47182</v>
      </c>
      <c r="B1059" s="24" t="n">
        <f aca="false">IF(YEAR(A1059)&gt;2026,Penalty!$B$16/100,IFERROR(INDEX(Rates!$B$4:$E$15,MATCH(YEAR(A1059),Rates!$A$4:$A$15,0),ROUNDUP(MONTH(A1059)/3,0))/100,0.03))</f>
        <v>0.07</v>
      </c>
      <c r="C1059" s="25" t="n">
        <f aca="false">MAX(0,Penalty!$B$4-SUMIFS(Penalty!$C$10:$C$12,Penalty!$B$10:$B$12,"&lt;"&amp;A1059))</f>
        <v>12000</v>
      </c>
      <c r="D1059" s="25" t="n">
        <f aca="false">IF(A1059&lt;=Penalty!$B$8,C1059+F1058+IF(A1059&gt;Penalty!$B$19,Penalty!$I$5,0)+G1058,0)</f>
        <v>0</v>
      </c>
      <c r="E1059" s="26" t="n">
        <f aca="false">D1059*B1059/365</f>
        <v>0</v>
      </c>
      <c r="F1059" s="25" t="n">
        <f aca="false">F1058+E1059*(1-IF(D1059&gt;0,(IF(A1059&gt;Penalty!$B$19,Penalty!$I$5,0)+G1058)/D1059,0))</f>
        <v>345.789278153858</v>
      </c>
      <c r="G1059" s="25" t="n">
        <f aca="false">G1058+E1059*IF(D1059&gt;0,(IF(A1059&gt;Penalty!$B$19,Penalty!$I$5,0)+G1058)/D1059,0)</f>
        <v>46.6815525507708</v>
      </c>
    </row>
    <row r="1060" customFormat="false" ht="15" hidden="false" customHeight="false" outlineLevel="0" collapsed="false">
      <c r="A1060" s="23" t="n">
        <f aca="false">Penalty!$B$5+1056</f>
        <v>47183</v>
      </c>
      <c r="B1060" s="24" t="n">
        <f aca="false">IF(YEAR(A1060)&gt;2026,Penalty!$B$16/100,IFERROR(INDEX(Rates!$B$4:$E$15,MATCH(YEAR(A1060),Rates!$A$4:$A$15,0),ROUNDUP(MONTH(A1060)/3,0))/100,0.03))</f>
        <v>0.07</v>
      </c>
      <c r="C1060" s="25" t="n">
        <f aca="false">MAX(0,Penalty!$B$4-SUMIFS(Penalty!$C$10:$C$12,Penalty!$B$10:$B$12,"&lt;"&amp;A1060))</f>
        <v>12000</v>
      </c>
      <c r="D1060" s="25" t="n">
        <f aca="false">IF(A1060&lt;=Penalty!$B$8,C1060+F1059+IF(A1060&gt;Penalty!$B$19,Penalty!$I$5,0)+G1059,0)</f>
        <v>0</v>
      </c>
      <c r="E1060" s="26" t="n">
        <f aca="false">D1060*B1060/365</f>
        <v>0</v>
      </c>
      <c r="F1060" s="25" t="n">
        <f aca="false">F1059+E1060*(1-IF(D1060&gt;0,(IF(A1060&gt;Penalty!$B$19,Penalty!$I$5,0)+G1059)/D1060,0))</f>
        <v>345.789278153858</v>
      </c>
      <c r="G1060" s="25" t="n">
        <f aca="false">G1059+E1060*IF(D1060&gt;0,(IF(A1060&gt;Penalty!$B$19,Penalty!$I$5,0)+G1059)/D1060,0)</f>
        <v>46.6815525507708</v>
      </c>
    </row>
    <row r="1061" customFormat="false" ht="15" hidden="false" customHeight="false" outlineLevel="0" collapsed="false">
      <c r="A1061" s="23" t="n">
        <f aca="false">Penalty!$B$5+1057</f>
        <v>47184</v>
      </c>
      <c r="B1061" s="24" t="n">
        <f aca="false">IF(YEAR(A1061)&gt;2026,Penalty!$B$16/100,IFERROR(INDEX(Rates!$B$4:$E$15,MATCH(YEAR(A1061),Rates!$A$4:$A$15,0),ROUNDUP(MONTH(A1061)/3,0))/100,0.03))</f>
        <v>0.07</v>
      </c>
      <c r="C1061" s="25" t="n">
        <f aca="false">MAX(0,Penalty!$B$4-SUMIFS(Penalty!$C$10:$C$12,Penalty!$B$10:$B$12,"&lt;"&amp;A1061))</f>
        <v>12000</v>
      </c>
      <c r="D1061" s="25" t="n">
        <f aca="false">IF(A1061&lt;=Penalty!$B$8,C1061+F1060+IF(A1061&gt;Penalty!$B$19,Penalty!$I$5,0)+G1060,0)</f>
        <v>0</v>
      </c>
      <c r="E1061" s="26" t="n">
        <f aca="false">D1061*B1061/365</f>
        <v>0</v>
      </c>
      <c r="F1061" s="25" t="n">
        <f aca="false">F1060+E1061*(1-IF(D1061&gt;0,(IF(A1061&gt;Penalty!$B$19,Penalty!$I$5,0)+G1060)/D1061,0))</f>
        <v>345.789278153858</v>
      </c>
      <c r="G1061" s="25" t="n">
        <f aca="false">G1060+E1061*IF(D1061&gt;0,(IF(A1061&gt;Penalty!$B$19,Penalty!$I$5,0)+G1060)/D1061,0)</f>
        <v>46.6815525507708</v>
      </c>
    </row>
    <row r="1062" customFormat="false" ht="15" hidden="false" customHeight="false" outlineLevel="0" collapsed="false">
      <c r="A1062" s="23" t="n">
        <f aca="false">Penalty!$B$5+1058</f>
        <v>47185</v>
      </c>
      <c r="B1062" s="24" t="n">
        <f aca="false">IF(YEAR(A1062)&gt;2026,Penalty!$B$16/100,IFERROR(INDEX(Rates!$B$4:$E$15,MATCH(YEAR(A1062),Rates!$A$4:$A$15,0),ROUNDUP(MONTH(A1062)/3,0))/100,0.03))</f>
        <v>0.07</v>
      </c>
      <c r="C1062" s="25" t="n">
        <f aca="false">MAX(0,Penalty!$B$4-SUMIFS(Penalty!$C$10:$C$12,Penalty!$B$10:$B$12,"&lt;"&amp;A1062))</f>
        <v>12000</v>
      </c>
      <c r="D1062" s="25" t="n">
        <f aca="false">IF(A1062&lt;=Penalty!$B$8,C1062+F1061+IF(A1062&gt;Penalty!$B$19,Penalty!$I$5,0)+G1061,0)</f>
        <v>0</v>
      </c>
      <c r="E1062" s="26" t="n">
        <f aca="false">D1062*B1062/365</f>
        <v>0</v>
      </c>
      <c r="F1062" s="25" t="n">
        <f aca="false">F1061+E1062*(1-IF(D1062&gt;0,(IF(A1062&gt;Penalty!$B$19,Penalty!$I$5,0)+G1061)/D1062,0))</f>
        <v>345.789278153858</v>
      </c>
      <c r="G1062" s="25" t="n">
        <f aca="false">G1061+E1062*IF(D1062&gt;0,(IF(A1062&gt;Penalty!$B$19,Penalty!$I$5,0)+G1061)/D1062,0)</f>
        <v>46.6815525507708</v>
      </c>
    </row>
    <row r="1063" customFormat="false" ht="15" hidden="false" customHeight="false" outlineLevel="0" collapsed="false">
      <c r="A1063" s="23" t="n">
        <f aca="false">Penalty!$B$5+1059</f>
        <v>47186</v>
      </c>
      <c r="B1063" s="24" t="n">
        <f aca="false">IF(YEAR(A1063)&gt;2026,Penalty!$B$16/100,IFERROR(INDEX(Rates!$B$4:$E$15,MATCH(YEAR(A1063),Rates!$A$4:$A$15,0),ROUNDUP(MONTH(A1063)/3,0))/100,0.03))</f>
        <v>0.07</v>
      </c>
      <c r="C1063" s="25" t="n">
        <f aca="false">MAX(0,Penalty!$B$4-SUMIFS(Penalty!$C$10:$C$12,Penalty!$B$10:$B$12,"&lt;"&amp;A1063))</f>
        <v>12000</v>
      </c>
      <c r="D1063" s="25" t="n">
        <f aca="false">IF(A1063&lt;=Penalty!$B$8,C1063+F1062+IF(A1063&gt;Penalty!$B$19,Penalty!$I$5,0)+G1062,0)</f>
        <v>0</v>
      </c>
      <c r="E1063" s="26" t="n">
        <f aca="false">D1063*B1063/365</f>
        <v>0</v>
      </c>
      <c r="F1063" s="25" t="n">
        <f aca="false">F1062+E1063*(1-IF(D1063&gt;0,(IF(A1063&gt;Penalty!$B$19,Penalty!$I$5,0)+G1062)/D1063,0))</f>
        <v>345.789278153858</v>
      </c>
      <c r="G1063" s="25" t="n">
        <f aca="false">G1062+E1063*IF(D1063&gt;0,(IF(A1063&gt;Penalty!$B$19,Penalty!$I$5,0)+G1062)/D1063,0)</f>
        <v>46.6815525507708</v>
      </c>
    </row>
    <row r="1064" customFormat="false" ht="15" hidden="false" customHeight="false" outlineLevel="0" collapsed="false">
      <c r="A1064" s="23" t="n">
        <f aca="false">Penalty!$B$5+1060</f>
        <v>47187</v>
      </c>
      <c r="B1064" s="24" t="n">
        <f aca="false">IF(YEAR(A1064)&gt;2026,Penalty!$B$16/100,IFERROR(INDEX(Rates!$B$4:$E$15,MATCH(YEAR(A1064),Rates!$A$4:$A$15,0),ROUNDUP(MONTH(A1064)/3,0))/100,0.03))</f>
        <v>0.07</v>
      </c>
      <c r="C1064" s="25" t="n">
        <f aca="false">MAX(0,Penalty!$B$4-SUMIFS(Penalty!$C$10:$C$12,Penalty!$B$10:$B$12,"&lt;"&amp;A1064))</f>
        <v>12000</v>
      </c>
      <c r="D1064" s="25" t="n">
        <f aca="false">IF(A1064&lt;=Penalty!$B$8,C1064+F1063+IF(A1064&gt;Penalty!$B$19,Penalty!$I$5,0)+G1063,0)</f>
        <v>0</v>
      </c>
      <c r="E1064" s="26" t="n">
        <f aca="false">D1064*B1064/365</f>
        <v>0</v>
      </c>
      <c r="F1064" s="25" t="n">
        <f aca="false">F1063+E1064*(1-IF(D1064&gt;0,(IF(A1064&gt;Penalty!$B$19,Penalty!$I$5,0)+G1063)/D1064,0))</f>
        <v>345.789278153858</v>
      </c>
      <c r="G1064" s="25" t="n">
        <f aca="false">G1063+E1064*IF(D1064&gt;0,(IF(A1064&gt;Penalty!$B$19,Penalty!$I$5,0)+G1063)/D1064,0)</f>
        <v>46.6815525507708</v>
      </c>
    </row>
    <row r="1065" customFormat="false" ht="15" hidden="false" customHeight="false" outlineLevel="0" collapsed="false">
      <c r="A1065" s="23" t="n">
        <f aca="false">Penalty!$B$5+1061</f>
        <v>47188</v>
      </c>
      <c r="B1065" s="24" t="n">
        <f aca="false">IF(YEAR(A1065)&gt;2026,Penalty!$B$16/100,IFERROR(INDEX(Rates!$B$4:$E$15,MATCH(YEAR(A1065),Rates!$A$4:$A$15,0),ROUNDUP(MONTH(A1065)/3,0))/100,0.03))</f>
        <v>0.07</v>
      </c>
      <c r="C1065" s="25" t="n">
        <f aca="false">MAX(0,Penalty!$B$4-SUMIFS(Penalty!$C$10:$C$12,Penalty!$B$10:$B$12,"&lt;"&amp;A1065))</f>
        <v>12000</v>
      </c>
      <c r="D1065" s="25" t="n">
        <f aca="false">IF(A1065&lt;=Penalty!$B$8,C1065+F1064+IF(A1065&gt;Penalty!$B$19,Penalty!$I$5,0)+G1064,0)</f>
        <v>0</v>
      </c>
      <c r="E1065" s="26" t="n">
        <f aca="false">D1065*B1065/365</f>
        <v>0</v>
      </c>
      <c r="F1065" s="25" t="n">
        <f aca="false">F1064+E1065*(1-IF(D1065&gt;0,(IF(A1065&gt;Penalty!$B$19,Penalty!$I$5,0)+G1064)/D1065,0))</f>
        <v>345.789278153858</v>
      </c>
      <c r="G1065" s="25" t="n">
        <f aca="false">G1064+E1065*IF(D1065&gt;0,(IF(A1065&gt;Penalty!$B$19,Penalty!$I$5,0)+G1064)/D1065,0)</f>
        <v>46.6815525507708</v>
      </c>
    </row>
    <row r="1066" customFormat="false" ht="15" hidden="false" customHeight="false" outlineLevel="0" collapsed="false">
      <c r="A1066" s="23" t="n">
        <f aca="false">Penalty!$B$5+1062</f>
        <v>47189</v>
      </c>
      <c r="B1066" s="24" t="n">
        <f aca="false">IF(YEAR(A1066)&gt;2026,Penalty!$B$16/100,IFERROR(INDEX(Rates!$B$4:$E$15,MATCH(YEAR(A1066),Rates!$A$4:$A$15,0),ROUNDUP(MONTH(A1066)/3,0))/100,0.03))</f>
        <v>0.07</v>
      </c>
      <c r="C1066" s="25" t="n">
        <f aca="false">MAX(0,Penalty!$B$4-SUMIFS(Penalty!$C$10:$C$12,Penalty!$B$10:$B$12,"&lt;"&amp;A1066))</f>
        <v>12000</v>
      </c>
      <c r="D1066" s="25" t="n">
        <f aca="false">IF(A1066&lt;=Penalty!$B$8,C1066+F1065+IF(A1066&gt;Penalty!$B$19,Penalty!$I$5,0)+G1065,0)</f>
        <v>0</v>
      </c>
      <c r="E1066" s="26" t="n">
        <f aca="false">D1066*B1066/365</f>
        <v>0</v>
      </c>
      <c r="F1066" s="25" t="n">
        <f aca="false">F1065+E1066*(1-IF(D1066&gt;0,(IF(A1066&gt;Penalty!$B$19,Penalty!$I$5,0)+G1065)/D1066,0))</f>
        <v>345.789278153858</v>
      </c>
      <c r="G1066" s="25" t="n">
        <f aca="false">G1065+E1066*IF(D1066&gt;0,(IF(A1066&gt;Penalty!$B$19,Penalty!$I$5,0)+G1065)/D1066,0)</f>
        <v>46.6815525507708</v>
      </c>
    </row>
    <row r="1067" customFormat="false" ht="15" hidden="false" customHeight="false" outlineLevel="0" collapsed="false">
      <c r="A1067" s="23" t="n">
        <f aca="false">Penalty!$B$5+1063</f>
        <v>47190</v>
      </c>
      <c r="B1067" s="24" t="n">
        <f aca="false">IF(YEAR(A1067)&gt;2026,Penalty!$B$16/100,IFERROR(INDEX(Rates!$B$4:$E$15,MATCH(YEAR(A1067),Rates!$A$4:$A$15,0),ROUNDUP(MONTH(A1067)/3,0))/100,0.03))</f>
        <v>0.07</v>
      </c>
      <c r="C1067" s="25" t="n">
        <f aca="false">MAX(0,Penalty!$B$4-SUMIFS(Penalty!$C$10:$C$12,Penalty!$B$10:$B$12,"&lt;"&amp;A1067))</f>
        <v>12000</v>
      </c>
      <c r="D1067" s="25" t="n">
        <f aca="false">IF(A1067&lt;=Penalty!$B$8,C1067+F1066+IF(A1067&gt;Penalty!$B$19,Penalty!$I$5,0)+G1066,0)</f>
        <v>0</v>
      </c>
      <c r="E1067" s="26" t="n">
        <f aca="false">D1067*B1067/365</f>
        <v>0</v>
      </c>
      <c r="F1067" s="25" t="n">
        <f aca="false">F1066+E1067*(1-IF(D1067&gt;0,(IF(A1067&gt;Penalty!$B$19,Penalty!$I$5,0)+G1066)/D1067,0))</f>
        <v>345.789278153858</v>
      </c>
      <c r="G1067" s="25" t="n">
        <f aca="false">G1066+E1067*IF(D1067&gt;0,(IF(A1067&gt;Penalty!$B$19,Penalty!$I$5,0)+G1066)/D1067,0)</f>
        <v>46.6815525507708</v>
      </c>
    </row>
    <row r="1068" customFormat="false" ht="15" hidden="false" customHeight="false" outlineLevel="0" collapsed="false">
      <c r="A1068" s="23" t="n">
        <f aca="false">Penalty!$B$5+1064</f>
        <v>47191</v>
      </c>
      <c r="B1068" s="24" t="n">
        <f aca="false">IF(YEAR(A1068)&gt;2026,Penalty!$B$16/100,IFERROR(INDEX(Rates!$B$4:$E$15,MATCH(YEAR(A1068),Rates!$A$4:$A$15,0),ROUNDUP(MONTH(A1068)/3,0))/100,0.03))</f>
        <v>0.07</v>
      </c>
      <c r="C1068" s="25" t="n">
        <f aca="false">MAX(0,Penalty!$B$4-SUMIFS(Penalty!$C$10:$C$12,Penalty!$B$10:$B$12,"&lt;"&amp;A1068))</f>
        <v>12000</v>
      </c>
      <c r="D1068" s="25" t="n">
        <f aca="false">IF(A1068&lt;=Penalty!$B$8,C1068+F1067+IF(A1068&gt;Penalty!$B$19,Penalty!$I$5,0)+G1067,0)</f>
        <v>0</v>
      </c>
      <c r="E1068" s="26" t="n">
        <f aca="false">D1068*B1068/365</f>
        <v>0</v>
      </c>
      <c r="F1068" s="25" t="n">
        <f aca="false">F1067+E1068*(1-IF(D1068&gt;0,(IF(A1068&gt;Penalty!$B$19,Penalty!$I$5,0)+G1067)/D1068,0))</f>
        <v>345.789278153858</v>
      </c>
      <c r="G1068" s="25" t="n">
        <f aca="false">G1067+E1068*IF(D1068&gt;0,(IF(A1068&gt;Penalty!$B$19,Penalty!$I$5,0)+G1067)/D1068,0)</f>
        <v>46.6815525507708</v>
      </c>
    </row>
    <row r="1069" customFormat="false" ht="15" hidden="false" customHeight="false" outlineLevel="0" collapsed="false">
      <c r="A1069" s="23" t="n">
        <f aca="false">Penalty!$B$5+1065</f>
        <v>47192</v>
      </c>
      <c r="B1069" s="24" t="n">
        <f aca="false">IF(YEAR(A1069)&gt;2026,Penalty!$B$16/100,IFERROR(INDEX(Rates!$B$4:$E$15,MATCH(YEAR(A1069),Rates!$A$4:$A$15,0),ROUNDUP(MONTH(A1069)/3,0))/100,0.03))</f>
        <v>0.07</v>
      </c>
      <c r="C1069" s="25" t="n">
        <f aca="false">MAX(0,Penalty!$B$4-SUMIFS(Penalty!$C$10:$C$12,Penalty!$B$10:$B$12,"&lt;"&amp;A1069))</f>
        <v>12000</v>
      </c>
      <c r="D1069" s="25" t="n">
        <f aca="false">IF(A1069&lt;=Penalty!$B$8,C1069+F1068+IF(A1069&gt;Penalty!$B$19,Penalty!$I$5,0)+G1068,0)</f>
        <v>0</v>
      </c>
      <c r="E1069" s="26" t="n">
        <f aca="false">D1069*B1069/365</f>
        <v>0</v>
      </c>
      <c r="F1069" s="25" t="n">
        <f aca="false">F1068+E1069*(1-IF(D1069&gt;0,(IF(A1069&gt;Penalty!$B$19,Penalty!$I$5,0)+G1068)/D1069,0))</f>
        <v>345.789278153858</v>
      </c>
      <c r="G1069" s="25" t="n">
        <f aca="false">G1068+E1069*IF(D1069&gt;0,(IF(A1069&gt;Penalty!$B$19,Penalty!$I$5,0)+G1068)/D1069,0)</f>
        <v>46.6815525507708</v>
      </c>
    </row>
    <row r="1070" customFormat="false" ht="15" hidden="false" customHeight="false" outlineLevel="0" collapsed="false">
      <c r="A1070" s="23" t="n">
        <f aca="false">Penalty!$B$5+1066</f>
        <v>47193</v>
      </c>
      <c r="B1070" s="24" t="n">
        <f aca="false">IF(YEAR(A1070)&gt;2026,Penalty!$B$16/100,IFERROR(INDEX(Rates!$B$4:$E$15,MATCH(YEAR(A1070),Rates!$A$4:$A$15,0),ROUNDUP(MONTH(A1070)/3,0))/100,0.03))</f>
        <v>0.07</v>
      </c>
      <c r="C1070" s="25" t="n">
        <f aca="false">MAX(0,Penalty!$B$4-SUMIFS(Penalty!$C$10:$C$12,Penalty!$B$10:$B$12,"&lt;"&amp;A1070))</f>
        <v>12000</v>
      </c>
      <c r="D1070" s="25" t="n">
        <f aca="false">IF(A1070&lt;=Penalty!$B$8,C1070+F1069+IF(A1070&gt;Penalty!$B$19,Penalty!$I$5,0)+G1069,0)</f>
        <v>0</v>
      </c>
      <c r="E1070" s="26" t="n">
        <f aca="false">D1070*B1070/365</f>
        <v>0</v>
      </c>
      <c r="F1070" s="25" t="n">
        <f aca="false">F1069+E1070*(1-IF(D1070&gt;0,(IF(A1070&gt;Penalty!$B$19,Penalty!$I$5,0)+G1069)/D1070,0))</f>
        <v>345.789278153858</v>
      </c>
      <c r="G1070" s="25" t="n">
        <f aca="false">G1069+E1070*IF(D1070&gt;0,(IF(A1070&gt;Penalty!$B$19,Penalty!$I$5,0)+G1069)/D1070,0)</f>
        <v>46.6815525507708</v>
      </c>
    </row>
    <row r="1071" customFormat="false" ht="15" hidden="false" customHeight="false" outlineLevel="0" collapsed="false">
      <c r="A1071" s="23" t="n">
        <f aca="false">Penalty!$B$5+1067</f>
        <v>47194</v>
      </c>
      <c r="B1071" s="24" t="n">
        <f aca="false">IF(YEAR(A1071)&gt;2026,Penalty!$B$16/100,IFERROR(INDEX(Rates!$B$4:$E$15,MATCH(YEAR(A1071),Rates!$A$4:$A$15,0),ROUNDUP(MONTH(A1071)/3,0))/100,0.03))</f>
        <v>0.07</v>
      </c>
      <c r="C1071" s="25" t="n">
        <f aca="false">MAX(0,Penalty!$B$4-SUMIFS(Penalty!$C$10:$C$12,Penalty!$B$10:$B$12,"&lt;"&amp;A1071))</f>
        <v>12000</v>
      </c>
      <c r="D1071" s="25" t="n">
        <f aca="false">IF(A1071&lt;=Penalty!$B$8,C1071+F1070+IF(A1071&gt;Penalty!$B$19,Penalty!$I$5,0)+G1070,0)</f>
        <v>0</v>
      </c>
      <c r="E1071" s="26" t="n">
        <f aca="false">D1071*B1071/365</f>
        <v>0</v>
      </c>
      <c r="F1071" s="25" t="n">
        <f aca="false">F1070+E1071*(1-IF(D1071&gt;0,(IF(A1071&gt;Penalty!$B$19,Penalty!$I$5,0)+G1070)/D1071,0))</f>
        <v>345.789278153858</v>
      </c>
      <c r="G1071" s="25" t="n">
        <f aca="false">G1070+E1071*IF(D1071&gt;0,(IF(A1071&gt;Penalty!$B$19,Penalty!$I$5,0)+G1070)/D1071,0)</f>
        <v>46.6815525507708</v>
      </c>
    </row>
    <row r="1072" customFormat="false" ht="15" hidden="false" customHeight="false" outlineLevel="0" collapsed="false">
      <c r="A1072" s="23" t="n">
        <f aca="false">Penalty!$B$5+1068</f>
        <v>47195</v>
      </c>
      <c r="B1072" s="24" t="n">
        <f aca="false">IF(YEAR(A1072)&gt;2026,Penalty!$B$16/100,IFERROR(INDEX(Rates!$B$4:$E$15,MATCH(YEAR(A1072),Rates!$A$4:$A$15,0),ROUNDUP(MONTH(A1072)/3,0))/100,0.03))</f>
        <v>0.07</v>
      </c>
      <c r="C1072" s="25" t="n">
        <f aca="false">MAX(0,Penalty!$B$4-SUMIFS(Penalty!$C$10:$C$12,Penalty!$B$10:$B$12,"&lt;"&amp;A1072))</f>
        <v>12000</v>
      </c>
      <c r="D1072" s="25" t="n">
        <f aca="false">IF(A1072&lt;=Penalty!$B$8,C1072+F1071+IF(A1072&gt;Penalty!$B$19,Penalty!$I$5,0)+G1071,0)</f>
        <v>0</v>
      </c>
      <c r="E1072" s="26" t="n">
        <f aca="false">D1072*B1072/365</f>
        <v>0</v>
      </c>
      <c r="F1072" s="25" t="n">
        <f aca="false">F1071+E1072*(1-IF(D1072&gt;0,(IF(A1072&gt;Penalty!$B$19,Penalty!$I$5,0)+G1071)/D1072,0))</f>
        <v>345.789278153858</v>
      </c>
      <c r="G1072" s="25" t="n">
        <f aca="false">G1071+E1072*IF(D1072&gt;0,(IF(A1072&gt;Penalty!$B$19,Penalty!$I$5,0)+G1071)/D1072,0)</f>
        <v>46.6815525507708</v>
      </c>
    </row>
    <row r="1073" customFormat="false" ht="15" hidden="false" customHeight="false" outlineLevel="0" collapsed="false">
      <c r="A1073" s="23" t="n">
        <f aca="false">Penalty!$B$5+1069</f>
        <v>47196</v>
      </c>
      <c r="B1073" s="24" t="n">
        <f aca="false">IF(YEAR(A1073)&gt;2026,Penalty!$B$16/100,IFERROR(INDEX(Rates!$B$4:$E$15,MATCH(YEAR(A1073),Rates!$A$4:$A$15,0),ROUNDUP(MONTH(A1073)/3,0))/100,0.03))</f>
        <v>0.07</v>
      </c>
      <c r="C1073" s="25" t="n">
        <f aca="false">MAX(0,Penalty!$B$4-SUMIFS(Penalty!$C$10:$C$12,Penalty!$B$10:$B$12,"&lt;"&amp;A1073))</f>
        <v>12000</v>
      </c>
      <c r="D1073" s="25" t="n">
        <f aca="false">IF(A1073&lt;=Penalty!$B$8,C1073+F1072+IF(A1073&gt;Penalty!$B$19,Penalty!$I$5,0)+G1072,0)</f>
        <v>0</v>
      </c>
      <c r="E1073" s="26" t="n">
        <f aca="false">D1073*B1073/365</f>
        <v>0</v>
      </c>
      <c r="F1073" s="25" t="n">
        <f aca="false">F1072+E1073*(1-IF(D1073&gt;0,(IF(A1073&gt;Penalty!$B$19,Penalty!$I$5,0)+G1072)/D1073,0))</f>
        <v>345.789278153858</v>
      </c>
      <c r="G1073" s="25" t="n">
        <f aca="false">G1072+E1073*IF(D1073&gt;0,(IF(A1073&gt;Penalty!$B$19,Penalty!$I$5,0)+G1072)/D1073,0)</f>
        <v>46.6815525507708</v>
      </c>
    </row>
    <row r="1074" customFormat="false" ht="15" hidden="false" customHeight="false" outlineLevel="0" collapsed="false">
      <c r="A1074" s="23" t="n">
        <f aca="false">Penalty!$B$5+1070</f>
        <v>47197</v>
      </c>
      <c r="B1074" s="24" t="n">
        <f aca="false">IF(YEAR(A1074)&gt;2026,Penalty!$B$16/100,IFERROR(INDEX(Rates!$B$4:$E$15,MATCH(YEAR(A1074),Rates!$A$4:$A$15,0),ROUNDUP(MONTH(A1074)/3,0))/100,0.03))</f>
        <v>0.07</v>
      </c>
      <c r="C1074" s="25" t="n">
        <f aca="false">MAX(0,Penalty!$B$4-SUMIFS(Penalty!$C$10:$C$12,Penalty!$B$10:$B$12,"&lt;"&amp;A1074))</f>
        <v>12000</v>
      </c>
      <c r="D1074" s="25" t="n">
        <f aca="false">IF(A1074&lt;=Penalty!$B$8,C1074+F1073+IF(A1074&gt;Penalty!$B$19,Penalty!$I$5,0)+G1073,0)</f>
        <v>0</v>
      </c>
      <c r="E1074" s="26" t="n">
        <f aca="false">D1074*B1074/365</f>
        <v>0</v>
      </c>
      <c r="F1074" s="25" t="n">
        <f aca="false">F1073+E1074*(1-IF(D1074&gt;0,(IF(A1074&gt;Penalty!$B$19,Penalty!$I$5,0)+G1073)/D1074,0))</f>
        <v>345.789278153858</v>
      </c>
      <c r="G1074" s="25" t="n">
        <f aca="false">G1073+E1074*IF(D1074&gt;0,(IF(A1074&gt;Penalty!$B$19,Penalty!$I$5,0)+G1073)/D1074,0)</f>
        <v>46.6815525507708</v>
      </c>
    </row>
    <row r="1075" customFormat="false" ht="15" hidden="false" customHeight="false" outlineLevel="0" collapsed="false">
      <c r="A1075" s="23" t="n">
        <f aca="false">Penalty!$B$5+1071</f>
        <v>47198</v>
      </c>
      <c r="B1075" s="24" t="n">
        <f aca="false">IF(YEAR(A1075)&gt;2026,Penalty!$B$16/100,IFERROR(INDEX(Rates!$B$4:$E$15,MATCH(YEAR(A1075),Rates!$A$4:$A$15,0),ROUNDUP(MONTH(A1075)/3,0))/100,0.03))</f>
        <v>0.07</v>
      </c>
      <c r="C1075" s="25" t="n">
        <f aca="false">MAX(0,Penalty!$B$4-SUMIFS(Penalty!$C$10:$C$12,Penalty!$B$10:$B$12,"&lt;"&amp;A1075))</f>
        <v>12000</v>
      </c>
      <c r="D1075" s="25" t="n">
        <f aca="false">IF(A1075&lt;=Penalty!$B$8,C1075+F1074+IF(A1075&gt;Penalty!$B$19,Penalty!$I$5,0)+G1074,0)</f>
        <v>0</v>
      </c>
      <c r="E1075" s="26" t="n">
        <f aca="false">D1075*B1075/365</f>
        <v>0</v>
      </c>
      <c r="F1075" s="25" t="n">
        <f aca="false">F1074+E1075*(1-IF(D1075&gt;0,(IF(A1075&gt;Penalty!$B$19,Penalty!$I$5,0)+G1074)/D1075,0))</f>
        <v>345.789278153858</v>
      </c>
      <c r="G1075" s="25" t="n">
        <f aca="false">G1074+E1075*IF(D1075&gt;0,(IF(A1075&gt;Penalty!$B$19,Penalty!$I$5,0)+G1074)/D1075,0)</f>
        <v>46.6815525507708</v>
      </c>
    </row>
    <row r="1076" customFormat="false" ht="15" hidden="false" customHeight="false" outlineLevel="0" collapsed="false">
      <c r="A1076" s="23" t="n">
        <f aca="false">Penalty!$B$5+1072</f>
        <v>47199</v>
      </c>
      <c r="B1076" s="24" t="n">
        <f aca="false">IF(YEAR(A1076)&gt;2026,Penalty!$B$16/100,IFERROR(INDEX(Rates!$B$4:$E$15,MATCH(YEAR(A1076),Rates!$A$4:$A$15,0),ROUNDUP(MONTH(A1076)/3,0))/100,0.03))</f>
        <v>0.07</v>
      </c>
      <c r="C1076" s="25" t="n">
        <f aca="false">MAX(0,Penalty!$B$4-SUMIFS(Penalty!$C$10:$C$12,Penalty!$B$10:$B$12,"&lt;"&amp;A1076))</f>
        <v>12000</v>
      </c>
      <c r="D1076" s="25" t="n">
        <f aca="false">IF(A1076&lt;=Penalty!$B$8,C1076+F1075+IF(A1076&gt;Penalty!$B$19,Penalty!$I$5,0)+G1075,0)</f>
        <v>0</v>
      </c>
      <c r="E1076" s="26" t="n">
        <f aca="false">D1076*B1076/365</f>
        <v>0</v>
      </c>
      <c r="F1076" s="25" t="n">
        <f aca="false">F1075+E1076*(1-IF(D1076&gt;0,(IF(A1076&gt;Penalty!$B$19,Penalty!$I$5,0)+G1075)/D1076,0))</f>
        <v>345.789278153858</v>
      </c>
      <c r="G1076" s="25" t="n">
        <f aca="false">G1075+E1076*IF(D1076&gt;0,(IF(A1076&gt;Penalty!$B$19,Penalty!$I$5,0)+G1075)/D1076,0)</f>
        <v>46.6815525507708</v>
      </c>
    </row>
    <row r="1077" customFormat="false" ht="15" hidden="false" customHeight="false" outlineLevel="0" collapsed="false">
      <c r="A1077" s="23" t="n">
        <f aca="false">Penalty!$B$5+1073</f>
        <v>47200</v>
      </c>
      <c r="B1077" s="24" t="n">
        <f aca="false">IF(YEAR(A1077)&gt;2026,Penalty!$B$16/100,IFERROR(INDEX(Rates!$B$4:$E$15,MATCH(YEAR(A1077),Rates!$A$4:$A$15,0),ROUNDUP(MONTH(A1077)/3,0))/100,0.03))</f>
        <v>0.07</v>
      </c>
      <c r="C1077" s="25" t="n">
        <f aca="false">MAX(0,Penalty!$B$4-SUMIFS(Penalty!$C$10:$C$12,Penalty!$B$10:$B$12,"&lt;"&amp;A1077))</f>
        <v>12000</v>
      </c>
      <c r="D1077" s="25" t="n">
        <f aca="false">IF(A1077&lt;=Penalty!$B$8,C1077+F1076+IF(A1077&gt;Penalty!$B$19,Penalty!$I$5,0)+G1076,0)</f>
        <v>0</v>
      </c>
      <c r="E1077" s="26" t="n">
        <f aca="false">D1077*B1077/365</f>
        <v>0</v>
      </c>
      <c r="F1077" s="25" t="n">
        <f aca="false">F1076+E1077*(1-IF(D1077&gt;0,(IF(A1077&gt;Penalty!$B$19,Penalty!$I$5,0)+G1076)/D1077,0))</f>
        <v>345.789278153858</v>
      </c>
      <c r="G1077" s="25" t="n">
        <f aca="false">G1076+E1077*IF(D1077&gt;0,(IF(A1077&gt;Penalty!$B$19,Penalty!$I$5,0)+G1076)/D1077,0)</f>
        <v>46.6815525507708</v>
      </c>
    </row>
    <row r="1078" customFormat="false" ht="15" hidden="false" customHeight="false" outlineLevel="0" collapsed="false">
      <c r="A1078" s="23" t="n">
        <f aca="false">Penalty!$B$5+1074</f>
        <v>47201</v>
      </c>
      <c r="B1078" s="24" t="n">
        <f aca="false">IF(YEAR(A1078)&gt;2026,Penalty!$B$16/100,IFERROR(INDEX(Rates!$B$4:$E$15,MATCH(YEAR(A1078),Rates!$A$4:$A$15,0),ROUNDUP(MONTH(A1078)/3,0))/100,0.03))</f>
        <v>0.07</v>
      </c>
      <c r="C1078" s="25" t="n">
        <f aca="false">MAX(0,Penalty!$B$4-SUMIFS(Penalty!$C$10:$C$12,Penalty!$B$10:$B$12,"&lt;"&amp;A1078))</f>
        <v>12000</v>
      </c>
      <c r="D1078" s="25" t="n">
        <f aca="false">IF(A1078&lt;=Penalty!$B$8,C1078+F1077+IF(A1078&gt;Penalty!$B$19,Penalty!$I$5,0)+G1077,0)</f>
        <v>0</v>
      </c>
      <c r="E1078" s="26" t="n">
        <f aca="false">D1078*B1078/365</f>
        <v>0</v>
      </c>
      <c r="F1078" s="25" t="n">
        <f aca="false">F1077+E1078*(1-IF(D1078&gt;0,(IF(A1078&gt;Penalty!$B$19,Penalty!$I$5,0)+G1077)/D1078,0))</f>
        <v>345.789278153858</v>
      </c>
      <c r="G1078" s="25" t="n">
        <f aca="false">G1077+E1078*IF(D1078&gt;0,(IF(A1078&gt;Penalty!$B$19,Penalty!$I$5,0)+G1077)/D1078,0)</f>
        <v>46.6815525507708</v>
      </c>
    </row>
    <row r="1079" customFormat="false" ht="15" hidden="false" customHeight="false" outlineLevel="0" collapsed="false">
      <c r="A1079" s="23" t="n">
        <f aca="false">Penalty!$B$5+1075</f>
        <v>47202</v>
      </c>
      <c r="B1079" s="24" t="n">
        <f aca="false">IF(YEAR(A1079)&gt;2026,Penalty!$B$16/100,IFERROR(INDEX(Rates!$B$4:$E$15,MATCH(YEAR(A1079),Rates!$A$4:$A$15,0),ROUNDUP(MONTH(A1079)/3,0))/100,0.03))</f>
        <v>0.07</v>
      </c>
      <c r="C1079" s="25" t="n">
        <f aca="false">MAX(0,Penalty!$B$4-SUMIFS(Penalty!$C$10:$C$12,Penalty!$B$10:$B$12,"&lt;"&amp;A1079))</f>
        <v>12000</v>
      </c>
      <c r="D1079" s="25" t="n">
        <f aca="false">IF(A1079&lt;=Penalty!$B$8,C1079+F1078+IF(A1079&gt;Penalty!$B$19,Penalty!$I$5,0)+G1078,0)</f>
        <v>0</v>
      </c>
      <c r="E1079" s="26" t="n">
        <f aca="false">D1079*B1079/365</f>
        <v>0</v>
      </c>
      <c r="F1079" s="25" t="n">
        <f aca="false">F1078+E1079*(1-IF(D1079&gt;0,(IF(A1079&gt;Penalty!$B$19,Penalty!$I$5,0)+G1078)/D1079,0))</f>
        <v>345.789278153858</v>
      </c>
      <c r="G1079" s="25" t="n">
        <f aca="false">G1078+E1079*IF(D1079&gt;0,(IF(A1079&gt;Penalty!$B$19,Penalty!$I$5,0)+G1078)/D1079,0)</f>
        <v>46.6815525507708</v>
      </c>
    </row>
    <row r="1080" customFormat="false" ht="15" hidden="false" customHeight="false" outlineLevel="0" collapsed="false">
      <c r="A1080" s="23" t="n">
        <f aca="false">Penalty!$B$5+1076</f>
        <v>47203</v>
      </c>
      <c r="B1080" s="24" t="n">
        <f aca="false">IF(YEAR(A1080)&gt;2026,Penalty!$B$16/100,IFERROR(INDEX(Rates!$B$4:$E$15,MATCH(YEAR(A1080),Rates!$A$4:$A$15,0),ROUNDUP(MONTH(A1080)/3,0))/100,0.03))</f>
        <v>0.07</v>
      </c>
      <c r="C1080" s="25" t="n">
        <f aca="false">MAX(0,Penalty!$B$4-SUMIFS(Penalty!$C$10:$C$12,Penalty!$B$10:$B$12,"&lt;"&amp;A1080))</f>
        <v>12000</v>
      </c>
      <c r="D1080" s="25" t="n">
        <f aca="false">IF(A1080&lt;=Penalty!$B$8,C1080+F1079+IF(A1080&gt;Penalty!$B$19,Penalty!$I$5,0)+G1079,0)</f>
        <v>0</v>
      </c>
      <c r="E1080" s="26" t="n">
        <f aca="false">D1080*B1080/365</f>
        <v>0</v>
      </c>
      <c r="F1080" s="25" t="n">
        <f aca="false">F1079+E1080*(1-IF(D1080&gt;0,(IF(A1080&gt;Penalty!$B$19,Penalty!$I$5,0)+G1079)/D1080,0))</f>
        <v>345.789278153858</v>
      </c>
      <c r="G1080" s="25" t="n">
        <f aca="false">G1079+E1080*IF(D1080&gt;0,(IF(A1080&gt;Penalty!$B$19,Penalty!$I$5,0)+G1079)/D1080,0)</f>
        <v>46.6815525507708</v>
      </c>
    </row>
    <row r="1081" customFormat="false" ht="15" hidden="false" customHeight="false" outlineLevel="0" collapsed="false">
      <c r="A1081" s="23" t="n">
        <f aca="false">Penalty!$B$5+1077</f>
        <v>47204</v>
      </c>
      <c r="B1081" s="24" t="n">
        <f aca="false">IF(YEAR(A1081)&gt;2026,Penalty!$B$16/100,IFERROR(INDEX(Rates!$B$4:$E$15,MATCH(YEAR(A1081),Rates!$A$4:$A$15,0),ROUNDUP(MONTH(A1081)/3,0))/100,0.03))</f>
        <v>0.07</v>
      </c>
      <c r="C1081" s="25" t="n">
        <f aca="false">MAX(0,Penalty!$B$4-SUMIFS(Penalty!$C$10:$C$12,Penalty!$B$10:$B$12,"&lt;"&amp;A1081))</f>
        <v>12000</v>
      </c>
      <c r="D1081" s="25" t="n">
        <f aca="false">IF(A1081&lt;=Penalty!$B$8,C1081+F1080+IF(A1081&gt;Penalty!$B$19,Penalty!$I$5,0)+G1080,0)</f>
        <v>0</v>
      </c>
      <c r="E1081" s="26" t="n">
        <f aca="false">D1081*B1081/365</f>
        <v>0</v>
      </c>
      <c r="F1081" s="25" t="n">
        <f aca="false">F1080+E1081*(1-IF(D1081&gt;0,(IF(A1081&gt;Penalty!$B$19,Penalty!$I$5,0)+G1080)/D1081,0))</f>
        <v>345.789278153858</v>
      </c>
      <c r="G1081" s="25" t="n">
        <f aca="false">G1080+E1081*IF(D1081&gt;0,(IF(A1081&gt;Penalty!$B$19,Penalty!$I$5,0)+G1080)/D1081,0)</f>
        <v>46.6815525507708</v>
      </c>
    </row>
    <row r="1082" customFormat="false" ht="15" hidden="false" customHeight="false" outlineLevel="0" collapsed="false">
      <c r="A1082" s="23" t="n">
        <f aca="false">Penalty!$B$5+1078</f>
        <v>47205</v>
      </c>
      <c r="B1082" s="24" t="n">
        <f aca="false">IF(YEAR(A1082)&gt;2026,Penalty!$B$16/100,IFERROR(INDEX(Rates!$B$4:$E$15,MATCH(YEAR(A1082),Rates!$A$4:$A$15,0),ROUNDUP(MONTH(A1082)/3,0))/100,0.03))</f>
        <v>0.07</v>
      </c>
      <c r="C1082" s="25" t="n">
        <f aca="false">MAX(0,Penalty!$B$4-SUMIFS(Penalty!$C$10:$C$12,Penalty!$B$10:$B$12,"&lt;"&amp;A1082))</f>
        <v>12000</v>
      </c>
      <c r="D1082" s="25" t="n">
        <f aca="false">IF(A1082&lt;=Penalty!$B$8,C1082+F1081+IF(A1082&gt;Penalty!$B$19,Penalty!$I$5,0)+G1081,0)</f>
        <v>0</v>
      </c>
      <c r="E1082" s="26" t="n">
        <f aca="false">D1082*B1082/365</f>
        <v>0</v>
      </c>
      <c r="F1082" s="25" t="n">
        <f aca="false">F1081+E1082*(1-IF(D1082&gt;0,(IF(A1082&gt;Penalty!$B$19,Penalty!$I$5,0)+G1081)/D1082,0))</f>
        <v>345.789278153858</v>
      </c>
      <c r="G1082" s="25" t="n">
        <f aca="false">G1081+E1082*IF(D1082&gt;0,(IF(A1082&gt;Penalty!$B$19,Penalty!$I$5,0)+G1081)/D1082,0)</f>
        <v>46.6815525507708</v>
      </c>
    </row>
    <row r="1083" customFormat="false" ht="15" hidden="false" customHeight="false" outlineLevel="0" collapsed="false">
      <c r="A1083" s="23" t="n">
        <f aca="false">Penalty!$B$5+1079</f>
        <v>47206</v>
      </c>
      <c r="B1083" s="24" t="n">
        <f aca="false">IF(YEAR(A1083)&gt;2026,Penalty!$B$16/100,IFERROR(INDEX(Rates!$B$4:$E$15,MATCH(YEAR(A1083),Rates!$A$4:$A$15,0),ROUNDUP(MONTH(A1083)/3,0))/100,0.03))</f>
        <v>0.07</v>
      </c>
      <c r="C1083" s="25" t="n">
        <f aca="false">MAX(0,Penalty!$B$4-SUMIFS(Penalty!$C$10:$C$12,Penalty!$B$10:$B$12,"&lt;"&amp;A1083))</f>
        <v>12000</v>
      </c>
      <c r="D1083" s="25" t="n">
        <f aca="false">IF(A1083&lt;=Penalty!$B$8,C1083+F1082+IF(A1083&gt;Penalty!$B$19,Penalty!$I$5,0)+G1082,0)</f>
        <v>0</v>
      </c>
      <c r="E1083" s="26" t="n">
        <f aca="false">D1083*B1083/365</f>
        <v>0</v>
      </c>
      <c r="F1083" s="25" t="n">
        <f aca="false">F1082+E1083*(1-IF(D1083&gt;0,(IF(A1083&gt;Penalty!$B$19,Penalty!$I$5,0)+G1082)/D1083,0))</f>
        <v>345.789278153858</v>
      </c>
      <c r="G1083" s="25" t="n">
        <f aca="false">G1082+E1083*IF(D1083&gt;0,(IF(A1083&gt;Penalty!$B$19,Penalty!$I$5,0)+G1082)/D1083,0)</f>
        <v>46.6815525507708</v>
      </c>
    </row>
    <row r="1084" customFormat="false" ht="15" hidden="false" customHeight="false" outlineLevel="0" collapsed="false">
      <c r="A1084" s="23" t="n">
        <f aca="false">Penalty!$B$5+1080</f>
        <v>47207</v>
      </c>
      <c r="B1084" s="24" t="n">
        <f aca="false">IF(YEAR(A1084)&gt;2026,Penalty!$B$16/100,IFERROR(INDEX(Rates!$B$4:$E$15,MATCH(YEAR(A1084),Rates!$A$4:$A$15,0),ROUNDUP(MONTH(A1084)/3,0))/100,0.03))</f>
        <v>0.07</v>
      </c>
      <c r="C1084" s="25" t="n">
        <f aca="false">MAX(0,Penalty!$B$4-SUMIFS(Penalty!$C$10:$C$12,Penalty!$B$10:$B$12,"&lt;"&amp;A1084))</f>
        <v>12000</v>
      </c>
      <c r="D1084" s="25" t="n">
        <f aca="false">IF(A1084&lt;=Penalty!$B$8,C1084+F1083+IF(A1084&gt;Penalty!$B$19,Penalty!$I$5,0)+G1083,0)</f>
        <v>0</v>
      </c>
      <c r="E1084" s="26" t="n">
        <f aca="false">D1084*B1084/365</f>
        <v>0</v>
      </c>
      <c r="F1084" s="25" t="n">
        <f aca="false">F1083+E1084*(1-IF(D1084&gt;0,(IF(A1084&gt;Penalty!$B$19,Penalty!$I$5,0)+G1083)/D1084,0))</f>
        <v>345.789278153858</v>
      </c>
      <c r="G1084" s="25" t="n">
        <f aca="false">G1083+E1084*IF(D1084&gt;0,(IF(A1084&gt;Penalty!$B$19,Penalty!$I$5,0)+G1083)/D1084,0)</f>
        <v>46.6815525507708</v>
      </c>
    </row>
    <row r="1085" customFormat="false" ht="15" hidden="false" customHeight="false" outlineLevel="0" collapsed="false">
      <c r="A1085" s="23" t="n">
        <f aca="false">Penalty!$B$5+1081</f>
        <v>47208</v>
      </c>
      <c r="B1085" s="24" t="n">
        <f aca="false">IF(YEAR(A1085)&gt;2026,Penalty!$B$16/100,IFERROR(INDEX(Rates!$B$4:$E$15,MATCH(YEAR(A1085),Rates!$A$4:$A$15,0),ROUNDUP(MONTH(A1085)/3,0))/100,0.03))</f>
        <v>0.07</v>
      </c>
      <c r="C1085" s="25" t="n">
        <f aca="false">MAX(0,Penalty!$B$4-SUMIFS(Penalty!$C$10:$C$12,Penalty!$B$10:$B$12,"&lt;"&amp;A1085))</f>
        <v>12000</v>
      </c>
      <c r="D1085" s="25" t="n">
        <f aca="false">IF(A1085&lt;=Penalty!$B$8,C1085+F1084+IF(A1085&gt;Penalty!$B$19,Penalty!$I$5,0)+G1084,0)</f>
        <v>0</v>
      </c>
      <c r="E1085" s="26" t="n">
        <f aca="false">D1085*B1085/365</f>
        <v>0</v>
      </c>
      <c r="F1085" s="25" t="n">
        <f aca="false">F1084+E1085*(1-IF(D1085&gt;0,(IF(A1085&gt;Penalty!$B$19,Penalty!$I$5,0)+G1084)/D1085,0))</f>
        <v>345.789278153858</v>
      </c>
      <c r="G1085" s="25" t="n">
        <f aca="false">G1084+E1085*IF(D1085&gt;0,(IF(A1085&gt;Penalty!$B$19,Penalty!$I$5,0)+G1084)/D1085,0)</f>
        <v>46.6815525507708</v>
      </c>
    </row>
    <row r="1086" customFormat="false" ht="15" hidden="false" customHeight="false" outlineLevel="0" collapsed="false">
      <c r="A1086" s="23" t="n">
        <f aca="false">Penalty!$B$5+1082</f>
        <v>47209</v>
      </c>
      <c r="B1086" s="24" t="n">
        <f aca="false">IF(YEAR(A1086)&gt;2026,Penalty!$B$16/100,IFERROR(INDEX(Rates!$B$4:$E$15,MATCH(YEAR(A1086),Rates!$A$4:$A$15,0),ROUNDUP(MONTH(A1086)/3,0))/100,0.03))</f>
        <v>0.07</v>
      </c>
      <c r="C1086" s="25" t="n">
        <f aca="false">MAX(0,Penalty!$B$4-SUMIFS(Penalty!$C$10:$C$12,Penalty!$B$10:$B$12,"&lt;"&amp;A1086))</f>
        <v>12000</v>
      </c>
      <c r="D1086" s="25" t="n">
        <f aca="false">IF(A1086&lt;=Penalty!$B$8,C1086+F1085+IF(A1086&gt;Penalty!$B$19,Penalty!$I$5,0)+G1085,0)</f>
        <v>0</v>
      </c>
      <c r="E1086" s="26" t="n">
        <f aca="false">D1086*B1086/365</f>
        <v>0</v>
      </c>
      <c r="F1086" s="25" t="n">
        <f aca="false">F1085+E1086*(1-IF(D1086&gt;0,(IF(A1086&gt;Penalty!$B$19,Penalty!$I$5,0)+G1085)/D1086,0))</f>
        <v>345.789278153858</v>
      </c>
      <c r="G1086" s="25" t="n">
        <f aca="false">G1085+E1086*IF(D1086&gt;0,(IF(A1086&gt;Penalty!$B$19,Penalty!$I$5,0)+G1085)/D1086,0)</f>
        <v>46.6815525507708</v>
      </c>
    </row>
    <row r="1087" customFormat="false" ht="15" hidden="false" customHeight="false" outlineLevel="0" collapsed="false">
      <c r="A1087" s="23" t="n">
        <f aca="false">Penalty!$B$5+1083</f>
        <v>47210</v>
      </c>
      <c r="B1087" s="24" t="n">
        <f aca="false">IF(YEAR(A1087)&gt;2026,Penalty!$B$16/100,IFERROR(INDEX(Rates!$B$4:$E$15,MATCH(YEAR(A1087),Rates!$A$4:$A$15,0),ROUNDUP(MONTH(A1087)/3,0))/100,0.03))</f>
        <v>0.07</v>
      </c>
      <c r="C1087" s="25" t="n">
        <f aca="false">MAX(0,Penalty!$B$4-SUMIFS(Penalty!$C$10:$C$12,Penalty!$B$10:$B$12,"&lt;"&amp;A1087))</f>
        <v>12000</v>
      </c>
      <c r="D1087" s="25" t="n">
        <f aca="false">IF(A1087&lt;=Penalty!$B$8,C1087+F1086+IF(A1087&gt;Penalty!$B$19,Penalty!$I$5,0)+G1086,0)</f>
        <v>0</v>
      </c>
      <c r="E1087" s="26" t="n">
        <f aca="false">D1087*B1087/365</f>
        <v>0</v>
      </c>
      <c r="F1087" s="25" t="n">
        <f aca="false">F1086+E1087*(1-IF(D1087&gt;0,(IF(A1087&gt;Penalty!$B$19,Penalty!$I$5,0)+G1086)/D1087,0))</f>
        <v>345.789278153858</v>
      </c>
      <c r="G1087" s="25" t="n">
        <f aca="false">G1086+E1087*IF(D1087&gt;0,(IF(A1087&gt;Penalty!$B$19,Penalty!$I$5,0)+G1086)/D1087,0)</f>
        <v>46.6815525507708</v>
      </c>
    </row>
    <row r="1088" customFormat="false" ht="15" hidden="false" customHeight="false" outlineLevel="0" collapsed="false">
      <c r="A1088" s="23" t="n">
        <f aca="false">Penalty!$B$5+1084</f>
        <v>47211</v>
      </c>
      <c r="B1088" s="24" t="n">
        <f aca="false">IF(YEAR(A1088)&gt;2026,Penalty!$B$16/100,IFERROR(INDEX(Rates!$B$4:$E$15,MATCH(YEAR(A1088),Rates!$A$4:$A$15,0),ROUNDUP(MONTH(A1088)/3,0))/100,0.03))</f>
        <v>0.07</v>
      </c>
      <c r="C1088" s="25" t="n">
        <f aca="false">MAX(0,Penalty!$B$4-SUMIFS(Penalty!$C$10:$C$12,Penalty!$B$10:$B$12,"&lt;"&amp;A1088))</f>
        <v>12000</v>
      </c>
      <c r="D1088" s="25" t="n">
        <f aca="false">IF(A1088&lt;=Penalty!$B$8,C1088+F1087+IF(A1088&gt;Penalty!$B$19,Penalty!$I$5,0)+G1087,0)</f>
        <v>0</v>
      </c>
      <c r="E1088" s="26" t="n">
        <f aca="false">D1088*B1088/365</f>
        <v>0</v>
      </c>
      <c r="F1088" s="25" t="n">
        <f aca="false">F1087+E1088*(1-IF(D1088&gt;0,(IF(A1088&gt;Penalty!$B$19,Penalty!$I$5,0)+G1087)/D1088,0))</f>
        <v>345.789278153858</v>
      </c>
      <c r="G1088" s="25" t="n">
        <f aca="false">G1087+E1088*IF(D1088&gt;0,(IF(A1088&gt;Penalty!$B$19,Penalty!$I$5,0)+G1087)/D1088,0)</f>
        <v>46.6815525507708</v>
      </c>
    </row>
    <row r="1089" customFormat="false" ht="15" hidden="false" customHeight="false" outlineLevel="0" collapsed="false">
      <c r="A1089" s="23" t="n">
        <f aca="false">Penalty!$B$5+1085</f>
        <v>47212</v>
      </c>
      <c r="B1089" s="24" t="n">
        <f aca="false">IF(YEAR(A1089)&gt;2026,Penalty!$B$16/100,IFERROR(INDEX(Rates!$B$4:$E$15,MATCH(YEAR(A1089),Rates!$A$4:$A$15,0),ROUNDUP(MONTH(A1089)/3,0))/100,0.03))</f>
        <v>0.07</v>
      </c>
      <c r="C1089" s="25" t="n">
        <f aca="false">MAX(0,Penalty!$B$4-SUMIFS(Penalty!$C$10:$C$12,Penalty!$B$10:$B$12,"&lt;"&amp;A1089))</f>
        <v>12000</v>
      </c>
      <c r="D1089" s="25" t="n">
        <f aca="false">IF(A1089&lt;=Penalty!$B$8,C1089+F1088+IF(A1089&gt;Penalty!$B$19,Penalty!$I$5,0)+G1088,0)</f>
        <v>0</v>
      </c>
      <c r="E1089" s="26" t="n">
        <f aca="false">D1089*B1089/365</f>
        <v>0</v>
      </c>
      <c r="F1089" s="25" t="n">
        <f aca="false">F1088+E1089*(1-IF(D1089&gt;0,(IF(A1089&gt;Penalty!$B$19,Penalty!$I$5,0)+G1088)/D1089,0))</f>
        <v>345.789278153858</v>
      </c>
      <c r="G1089" s="25" t="n">
        <f aca="false">G1088+E1089*IF(D1089&gt;0,(IF(A1089&gt;Penalty!$B$19,Penalty!$I$5,0)+G1088)/D1089,0)</f>
        <v>46.6815525507708</v>
      </c>
    </row>
    <row r="1090" customFormat="false" ht="15" hidden="false" customHeight="false" outlineLevel="0" collapsed="false">
      <c r="A1090" s="23" t="n">
        <f aca="false">Penalty!$B$5+1086</f>
        <v>47213</v>
      </c>
      <c r="B1090" s="24" t="n">
        <f aca="false">IF(YEAR(A1090)&gt;2026,Penalty!$B$16/100,IFERROR(INDEX(Rates!$B$4:$E$15,MATCH(YEAR(A1090),Rates!$A$4:$A$15,0),ROUNDUP(MONTH(A1090)/3,0))/100,0.03))</f>
        <v>0.07</v>
      </c>
      <c r="C1090" s="25" t="n">
        <f aca="false">MAX(0,Penalty!$B$4-SUMIFS(Penalty!$C$10:$C$12,Penalty!$B$10:$B$12,"&lt;"&amp;A1090))</f>
        <v>12000</v>
      </c>
      <c r="D1090" s="25" t="n">
        <f aca="false">IF(A1090&lt;=Penalty!$B$8,C1090+F1089+IF(A1090&gt;Penalty!$B$19,Penalty!$I$5,0)+G1089,0)</f>
        <v>0</v>
      </c>
      <c r="E1090" s="26" t="n">
        <f aca="false">D1090*B1090/365</f>
        <v>0</v>
      </c>
      <c r="F1090" s="25" t="n">
        <f aca="false">F1089+E1090*(1-IF(D1090&gt;0,(IF(A1090&gt;Penalty!$B$19,Penalty!$I$5,0)+G1089)/D1090,0))</f>
        <v>345.789278153858</v>
      </c>
      <c r="G1090" s="25" t="n">
        <f aca="false">G1089+E1090*IF(D1090&gt;0,(IF(A1090&gt;Penalty!$B$19,Penalty!$I$5,0)+G1089)/D1090,0)</f>
        <v>46.6815525507708</v>
      </c>
    </row>
    <row r="1091" customFormat="false" ht="15" hidden="false" customHeight="false" outlineLevel="0" collapsed="false">
      <c r="A1091" s="23" t="n">
        <f aca="false">Penalty!$B$5+1087</f>
        <v>47214</v>
      </c>
      <c r="B1091" s="24" t="n">
        <f aca="false">IF(YEAR(A1091)&gt;2026,Penalty!$B$16/100,IFERROR(INDEX(Rates!$B$4:$E$15,MATCH(YEAR(A1091),Rates!$A$4:$A$15,0),ROUNDUP(MONTH(A1091)/3,0))/100,0.03))</f>
        <v>0.07</v>
      </c>
      <c r="C1091" s="25" t="n">
        <f aca="false">MAX(0,Penalty!$B$4-SUMIFS(Penalty!$C$10:$C$12,Penalty!$B$10:$B$12,"&lt;"&amp;A1091))</f>
        <v>12000</v>
      </c>
      <c r="D1091" s="25" t="n">
        <f aca="false">IF(A1091&lt;=Penalty!$B$8,C1091+F1090+IF(A1091&gt;Penalty!$B$19,Penalty!$I$5,0)+G1090,0)</f>
        <v>0</v>
      </c>
      <c r="E1091" s="26" t="n">
        <f aca="false">D1091*B1091/365</f>
        <v>0</v>
      </c>
      <c r="F1091" s="25" t="n">
        <f aca="false">F1090+E1091*(1-IF(D1091&gt;0,(IF(A1091&gt;Penalty!$B$19,Penalty!$I$5,0)+G1090)/D1091,0))</f>
        <v>345.789278153858</v>
      </c>
      <c r="G1091" s="25" t="n">
        <f aca="false">G1090+E1091*IF(D1091&gt;0,(IF(A1091&gt;Penalty!$B$19,Penalty!$I$5,0)+G1090)/D1091,0)</f>
        <v>46.6815525507708</v>
      </c>
    </row>
    <row r="1092" customFormat="false" ht="15" hidden="false" customHeight="false" outlineLevel="0" collapsed="false">
      <c r="A1092" s="23" t="n">
        <f aca="false">Penalty!$B$5+1088</f>
        <v>47215</v>
      </c>
      <c r="B1092" s="24" t="n">
        <f aca="false">IF(YEAR(A1092)&gt;2026,Penalty!$B$16/100,IFERROR(INDEX(Rates!$B$4:$E$15,MATCH(YEAR(A1092),Rates!$A$4:$A$15,0),ROUNDUP(MONTH(A1092)/3,0))/100,0.03))</f>
        <v>0.07</v>
      </c>
      <c r="C1092" s="25" t="n">
        <f aca="false">MAX(0,Penalty!$B$4-SUMIFS(Penalty!$C$10:$C$12,Penalty!$B$10:$B$12,"&lt;"&amp;A1092))</f>
        <v>12000</v>
      </c>
      <c r="D1092" s="25" t="n">
        <f aca="false">IF(A1092&lt;=Penalty!$B$8,C1092+F1091+IF(A1092&gt;Penalty!$B$19,Penalty!$I$5,0)+G1091,0)</f>
        <v>0</v>
      </c>
      <c r="E1092" s="26" t="n">
        <f aca="false">D1092*B1092/365</f>
        <v>0</v>
      </c>
      <c r="F1092" s="25" t="n">
        <f aca="false">F1091+E1092*(1-IF(D1092&gt;0,(IF(A1092&gt;Penalty!$B$19,Penalty!$I$5,0)+G1091)/D1092,0))</f>
        <v>345.789278153858</v>
      </c>
      <c r="G1092" s="25" t="n">
        <f aca="false">G1091+E1092*IF(D1092&gt;0,(IF(A1092&gt;Penalty!$B$19,Penalty!$I$5,0)+G1091)/D1092,0)</f>
        <v>46.6815525507708</v>
      </c>
    </row>
    <row r="1093" customFormat="false" ht="15" hidden="false" customHeight="false" outlineLevel="0" collapsed="false">
      <c r="A1093" s="23" t="n">
        <f aca="false">Penalty!$B$5+1089</f>
        <v>47216</v>
      </c>
      <c r="B1093" s="24" t="n">
        <f aca="false">IF(YEAR(A1093)&gt;2026,Penalty!$B$16/100,IFERROR(INDEX(Rates!$B$4:$E$15,MATCH(YEAR(A1093),Rates!$A$4:$A$15,0),ROUNDUP(MONTH(A1093)/3,0))/100,0.03))</f>
        <v>0.07</v>
      </c>
      <c r="C1093" s="25" t="n">
        <f aca="false">MAX(0,Penalty!$B$4-SUMIFS(Penalty!$C$10:$C$12,Penalty!$B$10:$B$12,"&lt;"&amp;A1093))</f>
        <v>12000</v>
      </c>
      <c r="D1093" s="25" t="n">
        <f aca="false">IF(A1093&lt;=Penalty!$B$8,C1093+F1092+IF(A1093&gt;Penalty!$B$19,Penalty!$I$5,0)+G1092,0)</f>
        <v>0</v>
      </c>
      <c r="E1093" s="26" t="n">
        <f aca="false">D1093*B1093/365</f>
        <v>0</v>
      </c>
      <c r="F1093" s="25" t="n">
        <f aca="false">F1092+E1093*(1-IF(D1093&gt;0,(IF(A1093&gt;Penalty!$B$19,Penalty!$I$5,0)+G1092)/D1093,0))</f>
        <v>345.789278153858</v>
      </c>
      <c r="G1093" s="25" t="n">
        <f aca="false">G1092+E1093*IF(D1093&gt;0,(IF(A1093&gt;Penalty!$B$19,Penalty!$I$5,0)+G1092)/D1093,0)</f>
        <v>46.6815525507708</v>
      </c>
    </row>
    <row r="1094" customFormat="false" ht="15" hidden="false" customHeight="false" outlineLevel="0" collapsed="false">
      <c r="A1094" s="23" t="n">
        <f aca="false">Penalty!$B$5+1090</f>
        <v>47217</v>
      </c>
      <c r="B1094" s="24" t="n">
        <f aca="false">IF(YEAR(A1094)&gt;2026,Penalty!$B$16/100,IFERROR(INDEX(Rates!$B$4:$E$15,MATCH(YEAR(A1094),Rates!$A$4:$A$15,0),ROUNDUP(MONTH(A1094)/3,0))/100,0.03))</f>
        <v>0.07</v>
      </c>
      <c r="C1094" s="25" t="n">
        <f aca="false">MAX(0,Penalty!$B$4-SUMIFS(Penalty!$C$10:$C$12,Penalty!$B$10:$B$12,"&lt;"&amp;A1094))</f>
        <v>12000</v>
      </c>
      <c r="D1094" s="25" t="n">
        <f aca="false">IF(A1094&lt;=Penalty!$B$8,C1094+F1093+IF(A1094&gt;Penalty!$B$19,Penalty!$I$5,0)+G1093,0)</f>
        <v>0</v>
      </c>
      <c r="E1094" s="26" t="n">
        <f aca="false">D1094*B1094/365</f>
        <v>0</v>
      </c>
      <c r="F1094" s="25" t="n">
        <f aca="false">F1093+E1094*(1-IF(D1094&gt;0,(IF(A1094&gt;Penalty!$B$19,Penalty!$I$5,0)+G1093)/D1094,0))</f>
        <v>345.789278153858</v>
      </c>
      <c r="G1094" s="25" t="n">
        <f aca="false">G1093+E1094*IF(D1094&gt;0,(IF(A1094&gt;Penalty!$B$19,Penalty!$I$5,0)+G1093)/D1094,0)</f>
        <v>46.6815525507708</v>
      </c>
    </row>
    <row r="1095" customFormat="false" ht="15" hidden="false" customHeight="false" outlineLevel="0" collapsed="false">
      <c r="A1095" s="23" t="n">
        <f aca="false">Penalty!$B$5+1091</f>
        <v>47218</v>
      </c>
      <c r="B1095" s="24" t="n">
        <f aca="false">IF(YEAR(A1095)&gt;2026,Penalty!$B$16/100,IFERROR(INDEX(Rates!$B$4:$E$15,MATCH(YEAR(A1095),Rates!$A$4:$A$15,0),ROUNDUP(MONTH(A1095)/3,0))/100,0.03))</f>
        <v>0.07</v>
      </c>
      <c r="C1095" s="25" t="n">
        <f aca="false">MAX(0,Penalty!$B$4-SUMIFS(Penalty!$C$10:$C$12,Penalty!$B$10:$B$12,"&lt;"&amp;A1095))</f>
        <v>12000</v>
      </c>
      <c r="D1095" s="25" t="n">
        <f aca="false">IF(A1095&lt;=Penalty!$B$8,C1095+F1094+IF(A1095&gt;Penalty!$B$19,Penalty!$I$5,0)+G1094,0)</f>
        <v>0</v>
      </c>
      <c r="E1095" s="26" t="n">
        <f aca="false">D1095*B1095/365</f>
        <v>0</v>
      </c>
      <c r="F1095" s="25" t="n">
        <f aca="false">F1094+E1095*(1-IF(D1095&gt;0,(IF(A1095&gt;Penalty!$B$19,Penalty!$I$5,0)+G1094)/D1095,0))</f>
        <v>345.789278153858</v>
      </c>
      <c r="G1095" s="25" t="n">
        <f aca="false">G1094+E1095*IF(D1095&gt;0,(IF(A1095&gt;Penalty!$B$19,Penalty!$I$5,0)+G1094)/D1095,0)</f>
        <v>46.6815525507708</v>
      </c>
    </row>
    <row r="1096" customFormat="false" ht="15" hidden="false" customHeight="false" outlineLevel="0" collapsed="false">
      <c r="A1096" s="23" t="n">
        <f aca="false">Penalty!$B$5+1092</f>
        <v>47219</v>
      </c>
      <c r="B1096" s="24" t="n">
        <f aca="false">IF(YEAR(A1096)&gt;2026,Penalty!$B$16/100,IFERROR(INDEX(Rates!$B$4:$E$15,MATCH(YEAR(A1096),Rates!$A$4:$A$15,0),ROUNDUP(MONTH(A1096)/3,0))/100,0.03))</f>
        <v>0.07</v>
      </c>
      <c r="C1096" s="25" t="n">
        <f aca="false">MAX(0,Penalty!$B$4-SUMIFS(Penalty!$C$10:$C$12,Penalty!$B$10:$B$12,"&lt;"&amp;A1096))</f>
        <v>12000</v>
      </c>
      <c r="D1096" s="25" t="n">
        <f aca="false">IF(A1096&lt;=Penalty!$B$8,C1096+F1095+IF(A1096&gt;Penalty!$B$19,Penalty!$I$5,0)+G1095,0)</f>
        <v>0</v>
      </c>
      <c r="E1096" s="26" t="n">
        <f aca="false">D1096*B1096/365</f>
        <v>0</v>
      </c>
      <c r="F1096" s="25" t="n">
        <f aca="false">F1095+E1096*(1-IF(D1096&gt;0,(IF(A1096&gt;Penalty!$B$19,Penalty!$I$5,0)+G1095)/D1096,0))</f>
        <v>345.789278153858</v>
      </c>
      <c r="G1096" s="25" t="n">
        <f aca="false">G1095+E1096*IF(D1096&gt;0,(IF(A1096&gt;Penalty!$B$19,Penalty!$I$5,0)+G1095)/D1096,0)</f>
        <v>46.6815525507708</v>
      </c>
    </row>
    <row r="1097" customFormat="false" ht="15" hidden="false" customHeight="false" outlineLevel="0" collapsed="false">
      <c r="A1097" s="23" t="n">
        <f aca="false">Penalty!$B$5+1093</f>
        <v>47220</v>
      </c>
      <c r="B1097" s="24" t="n">
        <f aca="false">IF(YEAR(A1097)&gt;2026,Penalty!$B$16/100,IFERROR(INDEX(Rates!$B$4:$E$15,MATCH(YEAR(A1097),Rates!$A$4:$A$15,0),ROUNDUP(MONTH(A1097)/3,0))/100,0.03))</f>
        <v>0.07</v>
      </c>
      <c r="C1097" s="25" t="n">
        <f aca="false">MAX(0,Penalty!$B$4-SUMIFS(Penalty!$C$10:$C$12,Penalty!$B$10:$B$12,"&lt;"&amp;A1097))</f>
        <v>12000</v>
      </c>
      <c r="D1097" s="25" t="n">
        <f aca="false">IF(A1097&lt;=Penalty!$B$8,C1097+F1096+IF(A1097&gt;Penalty!$B$19,Penalty!$I$5,0)+G1096,0)</f>
        <v>0</v>
      </c>
      <c r="E1097" s="26" t="n">
        <f aca="false">D1097*B1097/365</f>
        <v>0</v>
      </c>
      <c r="F1097" s="25" t="n">
        <f aca="false">F1096+E1097*(1-IF(D1097&gt;0,(IF(A1097&gt;Penalty!$B$19,Penalty!$I$5,0)+G1096)/D1097,0))</f>
        <v>345.789278153858</v>
      </c>
      <c r="G1097" s="25" t="n">
        <f aca="false">G1096+E1097*IF(D1097&gt;0,(IF(A1097&gt;Penalty!$B$19,Penalty!$I$5,0)+G1096)/D1097,0)</f>
        <v>46.6815525507708</v>
      </c>
    </row>
    <row r="1098" customFormat="false" ht="15" hidden="false" customHeight="false" outlineLevel="0" collapsed="false">
      <c r="A1098" s="23" t="n">
        <f aca="false">Penalty!$B$5+1094</f>
        <v>47221</v>
      </c>
      <c r="B1098" s="24" t="n">
        <f aca="false">IF(YEAR(A1098)&gt;2026,Penalty!$B$16/100,IFERROR(INDEX(Rates!$B$4:$E$15,MATCH(YEAR(A1098),Rates!$A$4:$A$15,0),ROUNDUP(MONTH(A1098)/3,0))/100,0.03))</f>
        <v>0.07</v>
      </c>
      <c r="C1098" s="25" t="n">
        <f aca="false">MAX(0,Penalty!$B$4-SUMIFS(Penalty!$C$10:$C$12,Penalty!$B$10:$B$12,"&lt;"&amp;A1098))</f>
        <v>12000</v>
      </c>
      <c r="D1098" s="25" t="n">
        <f aca="false">IF(A1098&lt;=Penalty!$B$8,C1098+F1097+IF(A1098&gt;Penalty!$B$19,Penalty!$I$5,0)+G1097,0)</f>
        <v>0</v>
      </c>
      <c r="E1098" s="26" t="n">
        <f aca="false">D1098*B1098/365</f>
        <v>0</v>
      </c>
      <c r="F1098" s="25" t="n">
        <f aca="false">F1097+E1098*(1-IF(D1098&gt;0,(IF(A1098&gt;Penalty!$B$19,Penalty!$I$5,0)+G1097)/D1098,0))</f>
        <v>345.789278153858</v>
      </c>
      <c r="G1098" s="25" t="n">
        <f aca="false">G1097+E1098*IF(D1098&gt;0,(IF(A1098&gt;Penalty!$B$19,Penalty!$I$5,0)+G1097)/D1098,0)</f>
        <v>46.6815525507708</v>
      </c>
    </row>
    <row r="1099" customFormat="false" ht="15" hidden="false" customHeight="false" outlineLevel="0" collapsed="false">
      <c r="A1099" s="23" t="n">
        <f aca="false">Penalty!$B$5+1095</f>
        <v>47222</v>
      </c>
      <c r="B1099" s="24" t="n">
        <f aca="false">IF(YEAR(A1099)&gt;2026,Penalty!$B$16/100,IFERROR(INDEX(Rates!$B$4:$E$15,MATCH(YEAR(A1099),Rates!$A$4:$A$15,0),ROUNDUP(MONTH(A1099)/3,0))/100,0.03))</f>
        <v>0.07</v>
      </c>
      <c r="C1099" s="25" t="n">
        <f aca="false">MAX(0,Penalty!$B$4-SUMIFS(Penalty!$C$10:$C$12,Penalty!$B$10:$B$12,"&lt;"&amp;A1099))</f>
        <v>12000</v>
      </c>
      <c r="D1099" s="25" t="n">
        <f aca="false">IF(A1099&lt;=Penalty!$B$8,C1099+F1098+IF(A1099&gt;Penalty!$B$19,Penalty!$I$5,0)+G1098,0)</f>
        <v>0</v>
      </c>
      <c r="E1099" s="26" t="n">
        <f aca="false">D1099*B1099/365</f>
        <v>0</v>
      </c>
      <c r="F1099" s="25" t="n">
        <f aca="false">F1098+E1099*(1-IF(D1099&gt;0,(IF(A1099&gt;Penalty!$B$19,Penalty!$I$5,0)+G1098)/D1099,0))</f>
        <v>345.789278153858</v>
      </c>
      <c r="G1099" s="25" t="n">
        <f aca="false">G1098+E1099*IF(D1099&gt;0,(IF(A1099&gt;Penalty!$B$19,Penalty!$I$5,0)+G1098)/D1099,0)</f>
        <v>46.6815525507708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10"/>
  </cols>
  <sheetData>
    <row r="1" customFormat="false" ht="17.35" hidden="false" customHeight="false" outlineLevel="0" collapsed="false">
      <c r="A1" s="1" t="s">
        <v>66</v>
      </c>
    </row>
    <row r="3" customFormat="false" ht="15" hidden="false" customHeight="false" outlineLevel="0" collapsed="false">
      <c r="A3" s="19" t="s">
        <v>67</v>
      </c>
      <c r="B3" s="19" t="s">
        <v>68</v>
      </c>
      <c r="C3" s="19" t="s">
        <v>69</v>
      </c>
      <c r="D3" s="19" t="s">
        <v>70</v>
      </c>
      <c r="E3" s="19" t="s">
        <v>71</v>
      </c>
    </row>
    <row r="4" customFormat="false" ht="15" hidden="false" customHeight="false" outlineLevel="0" collapsed="false">
      <c r="A4" s="12" t="n">
        <v>2015</v>
      </c>
      <c r="B4" s="12" t="n">
        <v>3</v>
      </c>
      <c r="C4" s="12" t="n">
        <v>3</v>
      </c>
      <c r="D4" s="12" t="n">
        <v>3</v>
      </c>
      <c r="E4" s="12" t="n">
        <v>3</v>
      </c>
    </row>
    <row r="5" customFormat="false" ht="15" hidden="false" customHeight="false" outlineLevel="0" collapsed="false">
      <c r="A5" s="12" t="n">
        <v>2016</v>
      </c>
      <c r="B5" s="12" t="n">
        <v>3</v>
      </c>
      <c r="C5" s="12" t="n">
        <v>4</v>
      </c>
      <c r="D5" s="12" t="n">
        <v>4</v>
      </c>
      <c r="E5" s="12" t="n">
        <v>4</v>
      </c>
    </row>
    <row r="6" customFormat="false" ht="15" hidden="false" customHeight="false" outlineLevel="0" collapsed="false">
      <c r="A6" s="12" t="n">
        <v>2017</v>
      </c>
      <c r="B6" s="12" t="n">
        <v>4</v>
      </c>
      <c r="C6" s="12" t="n">
        <v>4</v>
      </c>
      <c r="D6" s="12" t="n">
        <v>4</v>
      </c>
      <c r="E6" s="12" t="n">
        <v>4</v>
      </c>
    </row>
    <row r="7" customFormat="false" ht="15" hidden="false" customHeight="false" outlineLevel="0" collapsed="false">
      <c r="A7" s="12" t="n">
        <v>2018</v>
      </c>
      <c r="B7" s="12" t="n">
        <v>4</v>
      </c>
      <c r="C7" s="12" t="n">
        <v>5</v>
      </c>
      <c r="D7" s="12" t="n">
        <v>5</v>
      </c>
      <c r="E7" s="12" t="n">
        <v>5</v>
      </c>
    </row>
    <row r="8" customFormat="false" ht="15" hidden="false" customHeight="false" outlineLevel="0" collapsed="false">
      <c r="A8" s="12" t="n">
        <v>2019</v>
      </c>
      <c r="B8" s="12" t="n">
        <v>6</v>
      </c>
      <c r="C8" s="12" t="n">
        <v>6</v>
      </c>
      <c r="D8" s="12" t="n">
        <v>5</v>
      </c>
      <c r="E8" s="12" t="n">
        <v>5</v>
      </c>
    </row>
    <row r="9" customFormat="false" ht="15" hidden="false" customHeight="false" outlineLevel="0" collapsed="false">
      <c r="A9" s="12" t="n">
        <v>2020</v>
      </c>
      <c r="B9" s="12" t="n">
        <v>5</v>
      </c>
      <c r="C9" s="12" t="n">
        <v>5</v>
      </c>
      <c r="D9" s="12" t="n">
        <v>3</v>
      </c>
      <c r="E9" s="12" t="n">
        <v>3</v>
      </c>
    </row>
    <row r="10" customFormat="false" ht="15" hidden="false" customHeight="false" outlineLevel="0" collapsed="false">
      <c r="A10" s="12" t="n">
        <v>2021</v>
      </c>
      <c r="B10" s="12" t="n">
        <v>3</v>
      </c>
      <c r="C10" s="12" t="n">
        <v>3</v>
      </c>
      <c r="D10" s="12" t="n">
        <v>3</v>
      </c>
      <c r="E10" s="12" t="n">
        <v>3</v>
      </c>
    </row>
    <row r="11" customFormat="false" ht="15" hidden="false" customHeight="false" outlineLevel="0" collapsed="false">
      <c r="A11" s="12" t="n">
        <v>2022</v>
      </c>
      <c r="B11" s="12" t="n">
        <v>3</v>
      </c>
      <c r="C11" s="12" t="n">
        <v>4</v>
      </c>
      <c r="D11" s="12" t="n">
        <v>5</v>
      </c>
      <c r="E11" s="12" t="n">
        <v>6</v>
      </c>
    </row>
    <row r="12" customFormat="false" ht="15" hidden="false" customHeight="false" outlineLevel="0" collapsed="false">
      <c r="A12" s="12" t="n">
        <v>2023</v>
      </c>
      <c r="B12" s="12" t="n">
        <v>7</v>
      </c>
      <c r="C12" s="12" t="n">
        <v>7</v>
      </c>
      <c r="D12" s="12" t="n">
        <v>7</v>
      </c>
      <c r="E12" s="12" t="n">
        <v>8</v>
      </c>
    </row>
    <row r="13" customFormat="false" ht="15" hidden="false" customHeight="false" outlineLevel="0" collapsed="false">
      <c r="A13" s="12" t="n">
        <v>2024</v>
      </c>
      <c r="B13" s="12" t="n">
        <v>8</v>
      </c>
      <c r="C13" s="12" t="n">
        <v>8</v>
      </c>
      <c r="D13" s="12" t="n">
        <v>8</v>
      </c>
      <c r="E13" s="12" t="n">
        <v>8</v>
      </c>
    </row>
    <row r="14" customFormat="false" ht="15" hidden="false" customHeight="false" outlineLevel="0" collapsed="false">
      <c r="A14" s="12" t="n">
        <v>2025</v>
      </c>
      <c r="B14" s="12" t="n">
        <v>7</v>
      </c>
      <c r="C14" s="12" t="n">
        <v>7</v>
      </c>
      <c r="D14" s="12" t="n">
        <v>7</v>
      </c>
      <c r="E14" s="12" t="n">
        <v>7</v>
      </c>
    </row>
    <row r="15" customFormat="false" ht="15" hidden="false" customHeight="false" outlineLevel="0" collapsed="false">
      <c r="A15" s="12" t="n">
        <v>2026</v>
      </c>
      <c r="B15" s="12" t="n">
        <v>7</v>
      </c>
      <c r="C15" s="12" t="n">
        <v>6</v>
      </c>
      <c r="D15" s="12" t="n">
        <v>7</v>
      </c>
      <c r="E15" s="12" t="n">
        <v>7</v>
      </c>
    </row>
    <row r="17" customFormat="false" ht="15" hidden="false" customHeight="false" outlineLevel="0" collapsed="false">
      <c r="A17" s="2" t="s">
        <v>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2026-09-21T07:12:41Z</dcterms:created>
  <dc:creator>openpyxl</dc:creator>
  <dc:description/>
  <dc:language>en-US</dc:language>
  <cp:lastModifiedBy/>
  <dcterms:modified xsi:type="dcterms:W3CDTF">2026-09-21T07:12:41Z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