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ate" sheetId="2" state="visible" r:id="rId4"/>
    <sheet name="Solver" sheetId="3" state="visible" r:id="rId5"/>
    <sheet name="Tax 2026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<sst xmlns="http://schemas.openxmlformats.org/spreadsheetml/2006/main" count="156" uniqueCount="128">
  <si>
    <t xml:space="preserve">Freelance rate workbook (2026 U.S. federal tax)</t>
  </si>
  <si>
    <t xml:space="preserve">Calcority. The hourly, day and project rate that delivers your take-home after the real tax stack, and the rate that matches a job.</t>
  </si>
  <si>
    <t xml:space="preserve">How to use</t>
  </si>
  <si>
    <t xml:space="preserve">1</t>
  </si>
  <si>
    <t xml:space="preserve">Rate tab: overwrite the example values with your own target take-home, costs, time and tax picture. The results are the invoiced revenue you need and the hourly, day, week and month rates.</t>
  </si>
  <si>
    <t xml:space="preserve">2</t>
  </si>
  <si>
    <t xml:space="preserve">Solver tab: the tax stack (self-employment tax, the QBI deduction, federal income tax and state tax) is worked out for a trial revenue, and the trial is corrected fifteen times until the take-home matches your target. Nothing to click.</t>
  </si>
  <si>
    <t xml:space="preserve">3</t>
  </si>
  <si>
    <t xml:space="preserve">The second solver block finds the revenue that leaves the same take-home as a job at the salary you enter, so you can see the multiple of the job’s hourly wage.</t>
  </si>
  <si>
    <t xml:space="preserve">4</t>
  </si>
  <si>
    <t xml:space="preserve">Tax 2026 tab: brackets, standard deductions, Social Security wage base, QBI thresholds. Update it each year.</t>
  </si>
  <si>
    <t xml:space="preserve">Colors</t>
  </si>
  <si>
    <t xml:space="preserve">Blue on yellow = you type. Black = formula. The starting values are illustrations.</t>
  </si>
  <si>
    <t xml:space="preserve">Definitions</t>
  </si>
  <si>
    <t xml:space="preserve">Take-home</t>
  </si>
  <si>
    <t xml:space="preserve">What is left to spend after business expenses, tax, your own health insurance and retirement savings.</t>
  </si>
  <si>
    <t xml:space="preserve">Invoiced revenue</t>
  </si>
  <si>
    <t xml:space="preserve">Collected revenue ÷ (1 − platform fees − uncollected invoices).</t>
  </si>
  <si>
    <t xml:space="preserve">Hourly rate</t>
  </si>
  <si>
    <t xml:space="preserve">Invoiced revenue ÷ billable hours, where billable hours = (52 − weeks off) × hours per week × billable share.</t>
  </si>
  <si>
    <t xml:space="preserve">Not modeled</t>
  </si>
  <si>
    <t xml:space="preserve">Local taxes, an S-corporation election, credits, a spouse’s separate return, benefits beyond salary in the job match.</t>
  </si>
  <si>
    <t xml:space="preserve">Disclaimer</t>
  </si>
  <si>
    <t xml:space="preserve">Planning aid, not tax, legal or financial advice. The QBI deduction is treated as for a service business (phase-out above the threshold).</t>
  </si>
  <si>
    <t xml:space="preserve">Freelance rate (example values: overwrite)</t>
  </si>
  <si>
    <t xml:space="preserve">Inputs</t>
  </si>
  <si>
    <t xml:space="preserve">Take-home per year</t>
  </si>
  <si>
    <t xml:space="preserve">Filing status</t>
  </si>
  <si>
    <t xml:space="preserve">Single</t>
  </si>
  <si>
    <t xml:space="preserve">Other taxable income in the household</t>
  </si>
  <si>
    <t xml:space="preserve">State income tax rate</t>
  </si>
  <si>
    <t xml:space="preserve">Business expenses per year</t>
  </si>
  <si>
    <t xml:space="preserve">Health insurance you pay</t>
  </si>
  <si>
    <t xml:space="preserve">Retirement savings</t>
  </si>
  <si>
    <t xml:space="preserve">Platform and payment fees</t>
  </si>
  <si>
    <t xml:space="preserve">Invoices you never collect</t>
  </si>
  <si>
    <t xml:space="preserve">Weeks off</t>
  </si>
  <si>
    <t xml:space="preserve">Hours you work in a week</t>
  </si>
  <si>
    <t xml:space="preserve">Share of those hours you bill</t>
  </si>
  <si>
    <t xml:space="preserve">Hours in a billed day</t>
  </si>
  <si>
    <t xml:space="preserve">Flat tax rate you might guess</t>
  </si>
  <si>
    <t xml:space="preserve">Job salary to match</t>
  </si>
  <si>
    <t xml:space="preserve">Project: estimated hours</t>
  </si>
  <si>
    <t xml:space="preserve">Scope buffer</t>
  </si>
  <si>
    <t xml:space="preserve">Filing status position</t>
  </si>
  <si>
    <t xml:space="preserve">Standard deduction</t>
  </si>
  <si>
    <t xml:space="preserve">Time</t>
  </si>
  <si>
    <t xml:space="preserve">Weeks worked</t>
  </si>
  <si>
    <t xml:space="preserve">Billable hours per year</t>
  </si>
  <si>
    <t xml:space="preserve">Billable days per year</t>
  </si>
  <si>
    <t xml:space="preserve">Results</t>
  </si>
  <si>
    <t xml:space="preserve">Collected revenue needed (from the solver)</t>
  </si>
  <si>
    <t xml:space="preserve">Invoiced revenue needed</t>
  </si>
  <si>
    <t xml:space="preserve">Day rate</t>
  </si>
  <si>
    <t xml:space="preserve">Week rate (per week worked)</t>
  </si>
  <si>
    <t xml:space="preserve">Month rate</t>
  </si>
  <si>
    <t xml:space="preserve">Total tax on the business income</t>
  </si>
  <si>
    <t xml:space="preserve">  of which self-employment tax</t>
  </si>
  <si>
    <t xml:space="preserve">  of which federal income tax</t>
  </si>
  <si>
    <t xml:space="preserve">  of which state tax</t>
  </si>
  <si>
    <t xml:space="preserve">Tax as a share of net profit</t>
  </si>
  <si>
    <t xml:space="preserve">Invoiced per $1 of take-home</t>
  </si>
  <si>
    <t xml:space="preserve">Check: take-home at that revenue</t>
  </si>
  <si>
    <t xml:space="preserve">The flat-rate shortcut</t>
  </si>
  <si>
    <t xml:space="preserve">(Take-home + expenses) ÷ (1 − flat rate)</t>
  </si>
  <si>
    <t xml:space="preserve">Hourly rate that gives</t>
  </si>
  <si>
    <t xml:space="preserve">Extra collected by grossing up deductible expenses</t>
  </si>
  <si>
    <t xml:space="preserve">Matching a job</t>
  </si>
  <si>
    <t xml:space="preserve">Federal income tax on the salary</t>
  </si>
  <si>
    <t xml:space="preserve">Social Security and Medicare on the salary</t>
  </si>
  <si>
    <t xml:space="preserve">State tax on the salary</t>
  </si>
  <si>
    <t xml:space="preserve">The job’s take-home</t>
  </si>
  <si>
    <t xml:space="preserve">The job’s hourly wage (2,080 hours)</t>
  </si>
  <si>
    <t xml:space="preserve">Freelance revenue that leaves the same take-home</t>
  </si>
  <si>
    <t xml:space="preserve">Freelance hourly rate to match</t>
  </si>
  <si>
    <t xml:space="preserve">Multiple of the job’s hourly wage</t>
  </si>
  <si>
    <t xml:space="preserve">A project</t>
  </si>
  <si>
    <t xml:space="preserve">Fee with the scope buffer</t>
  </si>
  <si>
    <t xml:space="preserve">Effective hourly rate if it takes the buffered hours</t>
  </si>
  <si>
    <t xml:space="preserve">Solver: trial revenue corrected until take-home = target</t>
  </si>
  <si>
    <t xml:space="preserve">A. Revenue that leaves your target take-home</t>
  </si>
  <si>
    <t xml:space="preserve">n</t>
  </si>
  <si>
    <t xml:space="preserve">Collected revenue (trial)</t>
  </si>
  <si>
    <t xml:space="preserve">Net profit</t>
  </si>
  <si>
    <t xml:space="preserve">SE base</t>
  </si>
  <si>
    <t xml:space="preserve">Social Security</t>
  </si>
  <si>
    <t xml:space="preserve">Medicare</t>
  </si>
  <si>
    <t xml:space="preserve">Additional Medicare</t>
  </si>
  <si>
    <t xml:space="preserve">SE tax</t>
  </si>
  <si>
    <t xml:space="preserve">Half of SE tax</t>
  </si>
  <si>
    <t xml:space="preserve">Health deduction</t>
  </si>
  <si>
    <t xml:space="preserve">Retirement deduction</t>
  </si>
  <si>
    <t xml:space="preserve">AGI</t>
  </si>
  <si>
    <t xml:space="preserve">Taxable before QBI</t>
  </si>
  <si>
    <t xml:space="preserve">QBI base</t>
  </si>
  <si>
    <t xml:space="preserve">QBI before minimum</t>
  </si>
  <si>
    <t xml:space="preserve">QBI deduction</t>
  </si>
  <si>
    <t xml:space="preserve">Taxable income</t>
  </si>
  <si>
    <t xml:space="preserve">Income tax</t>
  </si>
  <si>
    <t xml:space="preserve">Income tax on business income</t>
  </si>
  <si>
    <t xml:space="preserve">State tax</t>
  </si>
  <si>
    <t xml:space="preserve">Total tax</t>
  </si>
  <si>
    <t xml:space="preserve">Next trial</t>
  </si>
  <si>
    <t xml:space="preserve">B. Revenue that leaves the same take-home as the job</t>
  </si>
  <si>
    <t xml:space="preserve">2026 federal parameters (Rev. Proc. 2025-32 and statute)</t>
  </si>
  <si>
    <t xml:space="preserve">Bracket</t>
  </si>
  <si>
    <t xml:space="preserve">Rate</t>
  </si>
  <si>
    <t xml:space="preserve">Single from</t>
  </si>
  <si>
    <t xml:space="preserve">Joint from</t>
  </si>
  <si>
    <t xml:space="preserve">Head of household from</t>
  </si>
  <si>
    <t xml:space="preserve">Separate from</t>
  </si>
  <si>
    <t xml:space="preserve">Rate step</t>
  </si>
  <si>
    <t xml:space="preserve">Position</t>
  </si>
  <si>
    <t xml:space="preserve">Additional Medicare threshold</t>
  </si>
  <si>
    <t xml:space="preserve">QBI threshold</t>
  </si>
  <si>
    <t xml:space="preserve">QBI phase range</t>
  </si>
  <si>
    <t xml:space="preserve">Married filing jointly</t>
  </si>
  <si>
    <t xml:space="preserve">Head of household</t>
  </si>
  <si>
    <t xml:space="preserve">Married filing separately</t>
  </si>
  <si>
    <t xml:space="preserve">Social Security wage base</t>
  </si>
  <si>
    <t xml:space="preserve">Social Security rate (self-employed)</t>
  </si>
  <si>
    <t xml:space="preserve">Medicare rate (self-employed)</t>
  </si>
  <si>
    <t xml:space="preserve">Additional Medicare rate</t>
  </si>
  <si>
    <t xml:space="preserve">Net earnings factor</t>
  </si>
  <si>
    <t xml:space="preserve">Self-employment filing minimum</t>
  </si>
  <si>
    <t xml:space="preserve">QBI rate</t>
  </si>
  <si>
    <t xml:space="preserve">QBI minimum deduction</t>
  </si>
  <si>
    <t xml:space="preserve">QBI minimum qualified income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</si>
</sst>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"/>
    <numFmt numFmtId="166" formatCode="0.0%"/>
    <numFmt numFmtId="167" formatCode="0"/>
    <numFmt numFmtId="168" formatCode="0%"/>
    <numFmt numFmtId="169" formatCode="#,##0"/>
    <numFmt numFmtId="170" formatCode="\$#,##0.00"/>
    <numFmt numFmtId="171" formatCode="0.00"/>
    <numFmt numFmtId="172" formatCode="0.00\×"/>
    <numFmt numFmtId="173" formatCode="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5" t="s">
        <v>11</v>
      </c>
      <c r="B9" s="6" t="s">
        <v>12</v>
      </c>
    </row>
    <row r="10" customFormat="false" ht="15.75" hidden="false" customHeight="true" outlineLevel="0" collapsed="false">
      <c r="A10" s="3" t="s">
        <v>13</v>
      </c>
      <c r="B10" s="4"/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30" hidden="false" customHeight="true" outlineLevel="0" collapsed="false">
      <c r="A15" s="5" t="s">
        <v>22</v>
      </c>
      <c r="B15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8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" t="s">
        <v>24</v>
      </c>
    </row>
    <row r="3" customFormat="false" ht="15" hidden="false" customHeight="false" outlineLevel="0" collapsed="false">
      <c r="A3" s="3" t="s">
        <v>25</v>
      </c>
      <c r="B3" s="7"/>
    </row>
    <row r="4" customFormat="false" ht="15" hidden="false" customHeight="false" outlineLevel="0" collapsed="false">
      <c r="A4" s="8" t="s">
        <v>26</v>
      </c>
      <c r="B4" s="9" t="n">
        <v>90000</v>
      </c>
    </row>
    <row r="5" customFormat="false" ht="15" hidden="false" customHeight="false" outlineLevel="0" collapsed="false">
      <c r="A5" s="8" t="s">
        <v>27</v>
      </c>
      <c r="B5" s="10" t="s">
        <v>28</v>
      </c>
    </row>
    <row r="6" customFormat="false" ht="15" hidden="false" customHeight="false" outlineLevel="0" collapsed="false">
      <c r="A6" s="8" t="s">
        <v>29</v>
      </c>
      <c r="B6" s="9" t="n">
        <v>0</v>
      </c>
    </row>
    <row r="7" customFormat="false" ht="15" hidden="false" customHeight="false" outlineLevel="0" collapsed="false">
      <c r="A7" s="8" t="s">
        <v>30</v>
      </c>
      <c r="B7" s="11" t="n">
        <v>0.05</v>
      </c>
    </row>
    <row r="8" customFormat="false" ht="15" hidden="false" customHeight="false" outlineLevel="0" collapsed="false">
      <c r="A8" s="8" t="s">
        <v>31</v>
      </c>
      <c r="B8" s="9" t="n">
        <v>9000</v>
      </c>
    </row>
    <row r="9" customFormat="false" ht="15" hidden="false" customHeight="false" outlineLevel="0" collapsed="false">
      <c r="A9" s="8" t="s">
        <v>32</v>
      </c>
      <c r="B9" s="9" t="n">
        <v>7200</v>
      </c>
    </row>
    <row r="10" customFormat="false" ht="15" hidden="false" customHeight="false" outlineLevel="0" collapsed="false">
      <c r="A10" s="8" t="s">
        <v>33</v>
      </c>
      <c r="B10" s="9" t="n">
        <v>10000</v>
      </c>
    </row>
    <row r="11" customFormat="false" ht="15" hidden="false" customHeight="false" outlineLevel="0" collapsed="false">
      <c r="A11" s="8" t="s">
        <v>34</v>
      </c>
      <c r="B11" s="11" t="n">
        <v>0.03</v>
      </c>
    </row>
    <row r="12" customFormat="false" ht="15" hidden="false" customHeight="false" outlineLevel="0" collapsed="false">
      <c r="A12" s="8" t="s">
        <v>35</v>
      </c>
      <c r="B12" s="11" t="n">
        <v>0.02</v>
      </c>
    </row>
    <row r="13" customFormat="false" ht="15" hidden="false" customHeight="false" outlineLevel="0" collapsed="false">
      <c r="A13" s="8" t="s">
        <v>36</v>
      </c>
      <c r="B13" s="12" t="n">
        <v>6</v>
      </c>
    </row>
    <row r="14" customFormat="false" ht="15" hidden="false" customHeight="false" outlineLevel="0" collapsed="false">
      <c r="A14" s="8" t="s">
        <v>37</v>
      </c>
      <c r="B14" s="12" t="n">
        <v>40</v>
      </c>
    </row>
    <row r="15" customFormat="false" ht="15" hidden="false" customHeight="false" outlineLevel="0" collapsed="false">
      <c r="A15" s="8" t="s">
        <v>38</v>
      </c>
      <c r="B15" s="13" t="n">
        <v>0.6</v>
      </c>
    </row>
    <row r="16" customFormat="false" ht="15" hidden="false" customHeight="false" outlineLevel="0" collapsed="false">
      <c r="A16" s="8" t="s">
        <v>39</v>
      </c>
      <c r="B16" s="12" t="n">
        <v>8</v>
      </c>
    </row>
    <row r="17" customFormat="false" ht="15" hidden="false" customHeight="false" outlineLevel="0" collapsed="false">
      <c r="A17" s="8" t="s">
        <v>40</v>
      </c>
      <c r="B17" s="13" t="n">
        <v>0.3</v>
      </c>
    </row>
    <row r="18" customFormat="false" ht="15" hidden="false" customHeight="false" outlineLevel="0" collapsed="false">
      <c r="A18" s="8" t="s">
        <v>41</v>
      </c>
      <c r="B18" s="9" t="n">
        <v>85000</v>
      </c>
    </row>
    <row r="19" customFormat="false" ht="15" hidden="false" customHeight="false" outlineLevel="0" collapsed="false">
      <c r="A19" s="8" t="s">
        <v>42</v>
      </c>
      <c r="B19" s="12" t="n">
        <v>120</v>
      </c>
    </row>
    <row r="20" customFormat="false" ht="15" hidden="false" customHeight="false" outlineLevel="0" collapsed="false">
      <c r="A20" s="8" t="s">
        <v>43</v>
      </c>
      <c r="B20" s="13" t="n">
        <v>0.2</v>
      </c>
    </row>
    <row r="21" customFormat="false" ht="15" hidden="false" customHeight="false" outlineLevel="0" collapsed="false">
      <c r="A21" s="8" t="s">
        <v>44</v>
      </c>
      <c r="B21" s="14" t="n">
        <f aca="false">MATCH(B5,'Tax 2026'!$A$13:$A$16,0)</f>
        <v>1</v>
      </c>
    </row>
    <row r="22" customFormat="false" ht="15" hidden="false" customHeight="false" outlineLevel="0" collapsed="false">
      <c r="A22" s="8" t="s">
        <v>45</v>
      </c>
      <c r="B22" s="15" t="n">
        <f aca="false">INDEX('Tax 2026'!$C$13:$C$16,B21)</f>
        <v>16100</v>
      </c>
    </row>
    <row r="24" customFormat="false" ht="15" hidden="false" customHeight="false" outlineLevel="0" collapsed="false">
      <c r="A24" s="3" t="s">
        <v>46</v>
      </c>
      <c r="B24" s="7"/>
    </row>
    <row r="25" customFormat="false" ht="15" hidden="false" customHeight="false" outlineLevel="0" collapsed="false">
      <c r="A25" s="8" t="s">
        <v>47</v>
      </c>
      <c r="B25" s="14" t="n">
        <f aca="false">52-B13</f>
        <v>46</v>
      </c>
    </row>
    <row r="26" customFormat="false" ht="15" hidden="false" customHeight="false" outlineLevel="0" collapsed="false">
      <c r="A26" s="8" t="s">
        <v>48</v>
      </c>
      <c r="B26" s="16" t="n">
        <f aca="false">B25*B14*B15</f>
        <v>1104</v>
      </c>
    </row>
    <row r="27" customFormat="false" ht="15" hidden="false" customHeight="false" outlineLevel="0" collapsed="false">
      <c r="A27" s="8" t="s">
        <v>49</v>
      </c>
      <c r="B27" s="16" t="n">
        <f aca="false">B26/B16</f>
        <v>138</v>
      </c>
    </row>
    <row r="29" customFormat="false" ht="15" hidden="false" customHeight="false" outlineLevel="0" collapsed="false">
      <c r="A29" s="3" t="s">
        <v>50</v>
      </c>
      <c r="B29" s="7"/>
    </row>
    <row r="30" customFormat="false" ht="15" hidden="false" customHeight="false" outlineLevel="0" collapsed="false">
      <c r="A30" s="8" t="s">
        <v>51</v>
      </c>
      <c r="B30" s="15" t="n">
        <f aca="false">Solver!B20</f>
        <v>157884.618426061</v>
      </c>
    </row>
    <row r="31" customFormat="false" ht="15" hidden="false" customHeight="false" outlineLevel="0" collapsed="false">
      <c r="A31" s="5" t="s">
        <v>52</v>
      </c>
      <c r="B31" s="17" t="n">
        <f aca="false">B30/(1-B11-B12)</f>
        <v>166194.335185328</v>
      </c>
    </row>
    <row r="32" customFormat="false" ht="15" hidden="false" customHeight="false" outlineLevel="0" collapsed="false">
      <c r="A32" s="8" t="s">
        <v>18</v>
      </c>
      <c r="B32" s="18" t="n">
        <f aca="false">B31/B26</f>
        <v>150.538347088159</v>
      </c>
    </row>
    <row r="33" customFormat="false" ht="15" hidden="false" customHeight="false" outlineLevel="0" collapsed="false">
      <c r="A33" s="8" t="s">
        <v>53</v>
      </c>
      <c r="B33" s="15" t="n">
        <f aca="false">B32*B16</f>
        <v>1204.30677670527</v>
      </c>
    </row>
    <row r="34" customFormat="false" ht="15" hidden="false" customHeight="false" outlineLevel="0" collapsed="false">
      <c r="A34" s="8" t="s">
        <v>54</v>
      </c>
      <c r="B34" s="15" t="n">
        <f aca="false">B31/B25</f>
        <v>3612.92033011582</v>
      </c>
    </row>
    <row r="35" customFormat="false" ht="15" hidden="false" customHeight="false" outlineLevel="0" collapsed="false">
      <c r="A35" s="8" t="s">
        <v>55</v>
      </c>
      <c r="B35" s="15" t="n">
        <f aca="false">B31/12</f>
        <v>13849.5279321106</v>
      </c>
    </row>
    <row r="36" customFormat="false" ht="15" hidden="false" customHeight="false" outlineLevel="0" collapsed="false">
      <c r="A36" s="8" t="s">
        <v>56</v>
      </c>
      <c r="B36" s="15" t="n">
        <f aca="false">Solver!U20</f>
        <v>41684.6184260613</v>
      </c>
    </row>
    <row r="37" customFormat="false" ht="15" hidden="false" customHeight="false" outlineLevel="0" collapsed="false">
      <c r="A37" s="8" t="s">
        <v>57</v>
      </c>
      <c r="B37" s="15" t="n">
        <f aca="false">Solver!H20</f>
        <v>21036.7266028195</v>
      </c>
    </row>
    <row r="38" customFormat="false" ht="15" hidden="false" customHeight="false" outlineLevel="0" collapsed="false">
      <c r="A38" s="8" t="s">
        <v>58</v>
      </c>
      <c r="B38" s="15" t="n">
        <f aca="false">Solver!S20</f>
        <v>13203.6609019387</v>
      </c>
    </row>
    <row r="39" customFormat="false" ht="15" hidden="false" customHeight="false" outlineLevel="0" collapsed="false">
      <c r="A39" s="8" t="s">
        <v>59</v>
      </c>
      <c r="B39" s="15" t="n">
        <f aca="false">Solver!T20</f>
        <v>7444.23092130306</v>
      </c>
    </row>
    <row r="40" customFormat="false" ht="15" hidden="false" customHeight="false" outlineLevel="0" collapsed="false">
      <c r="A40" s="8" t="s">
        <v>60</v>
      </c>
      <c r="B40" s="19" t="n">
        <f aca="false">IF(Solver!C20&gt;0,B36/Solver!C20,0)</f>
        <v>0.279979348214286</v>
      </c>
    </row>
    <row r="41" customFormat="false" ht="15" hidden="false" customHeight="false" outlineLevel="0" collapsed="false">
      <c r="A41" s="8" t="s">
        <v>61</v>
      </c>
      <c r="B41" s="20" t="n">
        <f aca="false">B31/B4</f>
        <v>1.84660372428142</v>
      </c>
    </row>
    <row r="42" customFormat="false" ht="15" hidden="false" customHeight="false" outlineLevel="0" collapsed="false">
      <c r="A42" s="8" t="s">
        <v>62</v>
      </c>
      <c r="B42" s="15" t="n">
        <f aca="false">Solver!V20</f>
        <v>90000</v>
      </c>
    </row>
    <row r="44" customFormat="false" ht="15" hidden="false" customHeight="false" outlineLevel="0" collapsed="false">
      <c r="A44" s="3" t="s">
        <v>63</v>
      </c>
      <c r="B44" s="7"/>
    </row>
    <row r="45" customFormat="false" ht="15" hidden="false" customHeight="false" outlineLevel="0" collapsed="false">
      <c r="A45" s="8" t="s">
        <v>64</v>
      </c>
      <c r="B45" s="15" t="n">
        <f aca="false">(B4+B8)/(1-B17)</f>
        <v>141428.571428571</v>
      </c>
    </row>
    <row r="46" customFormat="false" ht="15" hidden="false" customHeight="false" outlineLevel="0" collapsed="false">
      <c r="A46" s="8" t="s">
        <v>65</v>
      </c>
      <c r="B46" s="18" t="n">
        <f aca="false">B45/B26</f>
        <v>128.105590062112</v>
      </c>
    </row>
    <row r="47" customFormat="false" ht="15" hidden="false" customHeight="false" outlineLevel="0" collapsed="false">
      <c r="A47" s="8" t="s">
        <v>66</v>
      </c>
      <c r="B47" s="15" t="n">
        <f aca="false">B8*B17/(1-B17)</f>
        <v>3857.14285714286</v>
      </c>
    </row>
    <row r="49" customFormat="false" ht="15" hidden="false" customHeight="false" outlineLevel="0" collapsed="false">
      <c r="A49" s="3" t="s">
        <v>67</v>
      </c>
      <c r="B49" s="7"/>
    </row>
    <row r="50" customFormat="false" ht="15" hidden="false" customHeight="false" outlineLevel="0" collapsed="false">
      <c r="A50" s="8" t="s">
        <v>68</v>
      </c>
      <c r="B50" s="15" t="n">
        <f aca="false">SUMPRODUCT((MAX(0,B18+B6-B22)&gt;INDEX('Tax 2026'!$C$4:$F$10,0,B21))*(MAX(0,B18+B6-B22)-INDEX('Tax 2026'!$C$4:$F$10,0,B21))*'Tax 2026'!$G$4:$G$10)-SUMPRODUCT((MAX(0,B6-B22)&gt;INDEX('Tax 2026'!$C$4:$F$10,0,B21))*(MAX(0,B6-B22)-INDEX('Tax 2026'!$C$4:$F$10,0,B21))*'Tax 2026'!$G$4:$G$10)</f>
        <v>9870</v>
      </c>
    </row>
    <row r="51" customFormat="false" ht="15" hidden="false" customHeight="false" outlineLevel="0" collapsed="false">
      <c r="A51" s="8" t="s">
        <v>69</v>
      </c>
      <c r="B51" s="15" t="n">
        <f aca="false">MIN(B18,'Tax 2026'!B19)*0.062+B18*0.0145+MAX(0,B18-INDEX('Tax 2026'!$D$13:$D$16,B21))*'Tax 2026'!B22</f>
        <v>6502.5</v>
      </c>
    </row>
    <row r="52" customFormat="false" ht="15" hidden="false" customHeight="false" outlineLevel="0" collapsed="false">
      <c r="A52" s="8" t="s">
        <v>70</v>
      </c>
      <c r="B52" s="15" t="n">
        <f aca="false">B18*B7</f>
        <v>4250</v>
      </c>
    </row>
    <row r="53" customFormat="false" ht="15" hidden="false" customHeight="false" outlineLevel="0" collapsed="false">
      <c r="A53" s="8" t="s">
        <v>71</v>
      </c>
      <c r="B53" s="15" t="n">
        <f aca="false">B18-B50-B51-B52</f>
        <v>64377.5</v>
      </c>
    </row>
    <row r="54" customFormat="false" ht="15" hidden="false" customHeight="false" outlineLevel="0" collapsed="false">
      <c r="A54" s="8" t="s">
        <v>72</v>
      </c>
      <c r="B54" s="18" t="n">
        <f aca="false">B18/2080</f>
        <v>40.8653846153846</v>
      </c>
    </row>
    <row r="55" customFormat="false" ht="15" hidden="false" customHeight="false" outlineLevel="0" collapsed="false">
      <c r="A55" s="8" t="s">
        <v>73</v>
      </c>
      <c r="B55" s="15" t="n">
        <f aca="false">Solver!B40/(1-B11-B12)</f>
        <v>124387.727047149</v>
      </c>
    </row>
    <row r="56" customFormat="false" ht="15" hidden="false" customHeight="false" outlineLevel="0" collapsed="false">
      <c r="A56" s="8" t="s">
        <v>74</v>
      </c>
      <c r="B56" s="18" t="n">
        <f aca="false">B55/B26</f>
        <v>112.670042615171</v>
      </c>
    </row>
    <row r="57" customFormat="false" ht="15" hidden="false" customHeight="false" outlineLevel="0" collapsed="false">
      <c r="A57" s="8" t="s">
        <v>75</v>
      </c>
      <c r="B57" s="21" t="n">
        <f aca="false">B56/B54</f>
        <v>2.75710221928889</v>
      </c>
    </row>
    <row r="59" customFormat="false" ht="15" hidden="false" customHeight="false" outlineLevel="0" collapsed="false">
      <c r="A59" s="3" t="s">
        <v>76</v>
      </c>
      <c r="B59" s="7"/>
    </row>
    <row r="60" customFormat="false" ht="15" hidden="false" customHeight="false" outlineLevel="0" collapsed="false">
      <c r="A60" s="8" t="s">
        <v>77</v>
      </c>
      <c r="B60" s="15" t="n">
        <f aca="false">B32*B19*(1+B20)</f>
        <v>21677.5219806949</v>
      </c>
    </row>
    <row r="61" customFormat="false" ht="15" hidden="false" customHeight="false" outlineLevel="0" collapsed="false">
      <c r="A61" s="8" t="s">
        <v>78</v>
      </c>
      <c r="B61" s="18" t="n">
        <f aca="false">B60/(B19*(1+B20))</f>
        <v>150.538347088159</v>
      </c>
    </row>
  </sheetData>
  <dataValidations count="1">
    <dataValidation allowBlank="false" errorStyle="stop" operator="between" showDropDown="false" showErrorMessage="false" showInputMessage="false" sqref="B5" type="list">
      <formula1>'Tax 2026'!$A$13:$A$16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3" min="2" style="0" width="15"/>
  </cols>
  <sheetData>
    <row r="1" customFormat="false" ht="17.35" hidden="false" customHeight="false" outlineLevel="0" collapsed="false">
      <c r="A1" s="1" t="s">
        <v>79</v>
      </c>
    </row>
    <row r="4" customFormat="false" ht="15" hidden="false" customHeight="false" outlineLevel="0" collapsed="false">
      <c r="A4" s="5" t="s">
        <v>80</v>
      </c>
    </row>
    <row r="5" customFormat="false" ht="43.5" hidden="false" customHeight="true" outlineLevel="0" collapsed="false">
      <c r="A5" s="22" t="s">
        <v>81</v>
      </c>
      <c r="B5" s="22" t="s">
        <v>82</v>
      </c>
      <c r="C5" s="22" t="s">
        <v>83</v>
      </c>
      <c r="D5" s="22" t="s">
        <v>84</v>
      </c>
      <c r="E5" s="22" t="s">
        <v>85</v>
      </c>
      <c r="F5" s="22" t="s">
        <v>86</v>
      </c>
      <c r="G5" s="22" t="s">
        <v>87</v>
      </c>
      <c r="H5" s="22" t="s">
        <v>88</v>
      </c>
      <c r="I5" s="22" t="s">
        <v>89</v>
      </c>
      <c r="J5" s="22" t="s">
        <v>90</v>
      </c>
      <c r="K5" s="22" t="s">
        <v>91</v>
      </c>
      <c r="L5" s="22" t="s">
        <v>92</v>
      </c>
      <c r="M5" s="22" t="s">
        <v>93</v>
      </c>
      <c r="N5" s="22" t="s">
        <v>94</v>
      </c>
      <c r="O5" s="22" t="s">
        <v>95</v>
      </c>
      <c r="P5" s="22" t="s">
        <v>96</v>
      </c>
      <c r="Q5" s="22" t="s">
        <v>97</v>
      </c>
      <c r="R5" s="22" t="s">
        <v>98</v>
      </c>
      <c r="S5" s="22" t="s">
        <v>99</v>
      </c>
      <c r="T5" s="22" t="s">
        <v>100</v>
      </c>
      <c r="U5" s="22" t="s">
        <v>101</v>
      </c>
      <c r="V5" s="22" t="s">
        <v>14</v>
      </c>
      <c r="W5" s="22" t="s">
        <v>102</v>
      </c>
    </row>
    <row r="6" customFormat="false" ht="15" hidden="false" customHeight="false" outlineLevel="0" collapsed="false">
      <c r="A6" s="14" t="n">
        <v>0</v>
      </c>
      <c r="B6" s="15" t="n">
        <f aca="false">(Rate!B4+Rate!B8+Rate!B9+Rate!B10)/0.7</f>
        <v>166000</v>
      </c>
      <c r="C6" s="15" t="n">
        <f aca="false">MAX(0,B6-Rate!$B$8)</f>
        <v>157000</v>
      </c>
      <c r="D6" s="15" t="n">
        <f aca="false">IF(C6*'Tax 2026'!$B$23&gt;='Tax 2026'!$B$24,C6*'Tax 2026'!$B$23,0)</f>
        <v>144989.5</v>
      </c>
      <c r="E6" s="15" t="n">
        <f aca="false">MIN(D6,'Tax 2026'!$B$19)*'Tax 2026'!$B$20</f>
        <v>17978.698</v>
      </c>
      <c r="F6" s="15" t="n">
        <f aca="false">D6*'Tax 2026'!$B$21</f>
        <v>4204.6955</v>
      </c>
      <c r="G6" s="15" t="n">
        <f aca="false">MAX(0,MIN(D6,D6-INDEX('Tax 2026'!$D$13:$D$16,Rate!$B$21)))*'Tax 2026'!$B$22</f>
        <v>0</v>
      </c>
      <c r="H6" s="15" t="n">
        <f aca="false">E6+F6+G6</f>
        <v>22183.3935</v>
      </c>
      <c r="I6" s="15" t="n">
        <f aca="false">(E6+F6)/2</f>
        <v>11091.69675</v>
      </c>
      <c r="J6" s="15" t="n">
        <f aca="false">MIN(Rate!$B$9,MAX(0,C6-I6))</f>
        <v>7200</v>
      </c>
      <c r="K6" s="15" t="n">
        <f aca="false">MIN(Rate!$B$10,MAX(0,C6-I6-J6))</f>
        <v>10000</v>
      </c>
      <c r="L6" s="15" t="n">
        <f aca="false">Rate!$B$6+C6-I6-J6-K6</f>
        <v>128708.30325</v>
      </c>
      <c r="M6" s="15" t="n">
        <f aca="false">MAX(0,L6-Rate!$B$22)</f>
        <v>112608.30325</v>
      </c>
      <c r="N6" s="15" t="n">
        <f aca="false">MAX(0,C6-I6-J6-K6)</f>
        <v>128708.30325</v>
      </c>
      <c r="O6" s="15" t="n">
        <f aca="false">IF(N6&lt;=0,0,IF(M6&lt;=INDEX('Tax 2026'!$E$13:$E$16,Rate!$B$21),MIN('Tax 2026'!$B$25*N6,'Tax 2026'!$B$25*M6),IF(M6&lt;INDEX('Tax 2026'!$E$13:$E$16,Rate!$B$21)+INDEX('Tax 2026'!$F$13:$F$16,Rate!$B$21),MIN('Tax 2026'!$B$25*N6*(1-(M6-INDEX('Tax 2026'!$E$13:$E$16,Rate!$B$21))/INDEX('Tax 2026'!$F$13:$F$16,Rate!$B$21)),'Tax 2026'!$B$25*M6),0)))</f>
        <v>22521.66065</v>
      </c>
      <c r="P6" s="15" t="n">
        <f aca="false">IF(AND(N6&gt;='Tax 2026'!$B$27,O6&lt;'Tax 2026'!$B$26),MIN('Tax 2026'!$B$26,M6),O6)</f>
        <v>22521.66065</v>
      </c>
      <c r="Q6" s="15" t="n">
        <f aca="false">MAX(0,M6-P6)</f>
        <v>90086.6426</v>
      </c>
      <c r="R6" s="15" t="n">
        <f aca="false">SUMPRODUCT((Q6&gt;INDEX('Tax 2026'!$C$4:$F$10,0,Rate!$B$21))*(Q6-INDEX('Tax 2026'!$C$4:$F$10,0,Rate!$B$21))*'Tax 2026'!$G$4:$G$10)</f>
        <v>14531.061372</v>
      </c>
      <c r="S6" s="15" t="n">
        <f aca="false">R6-SUMPRODUCT((MAX(0,Rate!$B$6-Rate!$B$22)&gt;INDEX('Tax 2026'!$C$4:$F$10,0,Rate!$B$21))*(MAX(0,Rate!$B$6-Rate!$B$22)-INDEX('Tax 2026'!$C$4:$F$10,0,Rate!$B$21))*'Tax 2026'!$G$4:$G$10)</f>
        <v>14531.061372</v>
      </c>
      <c r="T6" s="15" t="n">
        <f aca="false">C6*Rate!$B$7</f>
        <v>7850</v>
      </c>
      <c r="U6" s="15" t="n">
        <f aca="false">S6+H6+T6</f>
        <v>44564.454872</v>
      </c>
      <c r="V6" s="15" t="n">
        <f aca="false">B6-Rate!$B$8-U6-Rate!$B$9-Rate!$B$10</f>
        <v>95235.545128</v>
      </c>
      <c r="W6" s="15" t="n">
        <f aca="false">B6+(Rate!$B$4-V6)/(1-0.35)</f>
        <v>157945.315187692</v>
      </c>
    </row>
    <row r="7" customFormat="false" ht="15" hidden="false" customHeight="false" outlineLevel="0" collapsed="false">
      <c r="A7" s="14" t="n">
        <v>1</v>
      </c>
      <c r="B7" s="15" t="n">
        <f aca="false">W6</f>
        <v>157945.315187692</v>
      </c>
      <c r="C7" s="15" t="n">
        <f aca="false">MAX(0,B7-Rate!$B$8)</f>
        <v>148945.315187692</v>
      </c>
      <c r="D7" s="15" t="n">
        <f aca="false">IF(C7*'Tax 2026'!$B$23&gt;='Tax 2026'!$B$24,C7*'Tax 2026'!$B$23,0)</f>
        <v>137550.998575834</v>
      </c>
      <c r="E7" s="15" t="n">
        <f aca="false">MIN(D7,'Tax 2026'!$B$19)*'Tax 2026'!$B$20</f>
        <v>17056.3238234034</v>
      </c>
      <c r="F7" s="15" t="n">
        <f aca="false">D7*'Tax 2026'!$B$21</f>
        <v>3988.97895869918</v>
      </c>
      <c r="G7" s="15" t="n">
        <f aca="false">MAX(0,MIN(D7,D7-INDEX('Tax 2026'!$D$13:$D$16,Rate!$B$21)))*'Tax 2026'!$B$22</f>
        <v>0</v>
      </c>
      <c r="H7" s="15" t="n">
        <f aca="false">E7+F7+G7</f>
        <v>21045.3027821026</v>
      </c>
      <c r="I7" s="15" t="n">
        <f aca="false">(E7+F7)/2</f>
        <v>10522.6513910513</v>
      </c>
      <c r="J7" s="15" t="n">
        <f aca="false">MIN(Rate!$B$9,MAX(0,C7-I7))</f>
        <v>7200</v>
      </c>
      <c r="K7" s="15" t="n">
        <f aca="false">MIN(Rate!$B$10,MAX(0,C7-I7-J7))</f>
        <v>10000</v>
      </c>
      <c r="L7" s="15" t="n">
        <f aca="false">Rate!$B$6+C7-I7-J7-K7</f>
        <v>121222.663796641</v>
      </c>
      <c r="M7" s="15" t="n">
        <f aca="false">MAX(0,L7-Rate!$B$22)</f>
        <v>105122.663796641</v>
      </c>
      <c r="N7" s="15" t="n">
        <f aca="false">MAX(0,C7-I7-J7-K7)</f>
        <v>121222.663796641</v>
      </c>
      <c r="O7" s="15" t="n">
        <f aca="false">IF(N7&lt;=0,0,IF(M7&lt;=INDEX('Tax 2026'!$E$13:$E$16,Rate!$B$21),MIN('Tax 2026'!$B$25*N7,'Tax 2026'!$B$25*M7),IF(M7&lt;INDEX('Tax 2026'!$E$13:$E$16,Rate!$B$21)+INDEX('Tax 2026'!$F$13:$F$16,Rate!$B$21),MIN('Tax 2026'!$B$25*N7*(1-(M7-INDEX('Tax 2026'!$E$13:$E$16,Rate!$B$21))/INDEX('Tax 2026'!$F$13:$F$16,Rate!$B$21)),'Tax 2026'!$B$25*M7),0)))</f>
        <v>21024.5327593282</v>
      </c>
      <c r="P7" s="15" t="n">
        <f aca="false">IF(AND(N7&gt;='Tax 2026'!$B$27,O7&lt;'Tax 2026'!$B$26),MIN('Tax 2026'!$B$26,M7),O7)</f>
        <v>21024.5327593282</v>
      </c>
      <c r="Q7" s="15" t="n">
        <f aca="false">MAX(0,M7-P7)</f>
        <v>84098.1310373128</v>
      </c>
      <c r="R7" s="15" t="n">
        <f aca="false">SUMPRODUCT((Q7&gt;INDEX('Tax 2026'!$C$4:$F$10,0,Rate!$B$21))*(Q7-INDEX('Tax 2026'!$C$4:$F$10,0,Rate!$B$21))*'Tax 2026'!$G$4:$G$10)</f>
        <v>13213.5888282088</v>
      </c>
      <c r="S7" s="15" t="n">
        <f aca="false">R7-SUMPRODUCT((MAX(0,Rate!$B$6-Rate!$B$22)&gt;INDEX('Tax 2026'!$C$4:$F$10,0,Rate!$B$21))*(MAX(0,Rate!$B$6-Rate!$B$22)-INDEX('Tax 2026'!$C$4:$F$10,0,Rate!$B$21))*'Tax 2026'!$G$4:$G$10)</f>
        <v>13213.5888282088</v>
      </c>
      <c r="T7" s="15" t="n">
        <f aca="false">C7*Rate!$B$7</f>
        <v>7447.26575938462</v>
      </c>
      <c r="U7" s="15" t="n">
        <f aca="false">S7+H7+T7</f>
        <v>41706.157369696</v>
      </c>
      <c r="V7" s="15" t="n">
        <f aca="false">B7-Rate!$B$8-U7-Rate!$B$9-Rate!$B$10</f>
        <v>90039.1578179963</v>
      </c>
      <c r="W7" s="15" t="n">
        <f aca="false">B7+(Rate!$B$4-V7)/(1-0.35)</f>
        <v>157885.072390775</v>
      </c>
    </row>
    <row r="8" customFormat="false" ht="15" hidden="false" customHeight="false" outlineLevel="0" collapsed="false">
      <c r="A8" s="14" t="n">
        <v>2</v>
      </c>
      <c r="B8" s="15" t="n">
        <f aca="false">W7</f>
        <v>157885.072390775</v>
      </c>
      <c r="C8" s="15" t="n">
        <f aca="false">MAX(0,B8-Rate!$B$8)</f>
        <v>148885.072390775</v>
      </c>
      <c r="D8" s="15" t="n">
        <f aca="false">IF(C8*'Tax 2026'!$B$23&gt;='Tax 2026'!$B$24,C8*'Tax 2026'!$B$23,0)</f>
        <v>137495.364352881</v>
      </c>
      <c r="E8" s="15" t="n">
        <f aca="false">MIN(D8,'Tax 2026'!$B$19)*'Tax 2026'!$B$20</f>
        <v>17049.4251797572</v>
      </c>
      <c r="F8" s="15" t="n">
        <f aca="false">D8*'Tax 2026'!$B$21</f>
        <v>3987.36556623354</v>
      </c>
      <c r="G8" s="15" t="n">
        <f aca="false">MAX(0,MIN(D8,D8-INDEX('Tax 2026'!$D$13:$D$16,Rate!$B$21)))*'Tax 2026'!$B$22</f>
        <v>0</v>
      </c>
      <c r="H8" s="15" t="n">
        <f aca="false">E8+F8+G8</f>
        <v>21036.7907459907</v>
      </c>
      <c r="I8" s="15" t="n">
        <f aca="false">(E8+F8)/2</f>
        <v>10518.3953729954</v>
      </c>
      <c r="J8" s="15" t="n">
        <f aca="false">MIN(Rate!$B$9,MAX(0,C8-I8))</f>
        <v>7200</v>
      </c>
      <c r="K8" s="15" t="n">
        <f aca="false">MIN(Rate!$B$10,MAX(0,C8-I8-J8))</f>
        <v>10000</v>
      </c>
      <c r="L8" s="15" t="n">
        <f aca="false">Rate!$B$6+C8-I8-J8-K8</f>
        <v>121166.67701778</v>
      </c>
      <c r="M8" s="15" t="n">
        <f aca="false">MAX(0,L8-Rate!$B$22)</f>
        <v>105066.67701778</v>
      </c>
      <c r="N8" s="15" t="n">
        <f aca="false">MAX(0,C8-I8-J8-K8)</f>
        <v>121166.67701778</v>
      </c>
      <c r="O8" s="15" t="n">
        <f aca="false">IF(N8&lt;=0,0,IF(M8&lt;=INDEX('Tax 2026'!$E$13:$E$16,Rate!$B$21),MIN('Tax 2026'!$B$25*N8,'Tax 2026'!$B$25*M8),IF(M8&lt;INDEX('Tax 2026'!$E$13:$E$16,Rate!$B$21)+INDEX('Tax 2026'!$F$13:$F$16,Rate!$B$21),MIN('Tax 2026'!$B$25*N8*(1-(M8-INDEX('Tax 2026'!$E$13:$E$16,Rate!$B$21))/INDEX('Tax 2026'!$F$13:$F$16,Rate!$B$21)),'Tax 2026'!$B$25*M8),0)))</f>
        <v>21013.3354035559</v>
      </c>
      <c r="P8" s="15" t="n">
        <f aca="false">IF(AND(N8&gt;='Tax 2026'!$B$27,O8&lt;'Tax 2026'!$B$26),MIN('Tax 2026'!$B$26,M8),O8)</f>
        <v>21013.3354035559</v>
      </c>
      <c r="Q8" s="15" t="n">
        <f aca="false">MAX(0,M8-P8)</f>
        <v>84053.3416142236</v>
      </c>
      <c r="R8" s="15" t="n">
        <f aca="false">SUMPRODUCT((Q8&gt;INDEX('Tax 2026'!$C$4:$F$10,0,Rate!$B$21))*(Q8-INDEX('Tax 2026'!$C$4:$F$10,0,Rate!$B$21))*'Tax 2026'!$G$4:$G$10)</f>
        <v>13203.7351551292</v>
      </c>
      <c r="S8" s="15" t="n">
        <f aca="false">R8-SUMPRODUCT((MAX(0,Rate!$B$6-Rate!$B$22)&gt;INDEX('Tax 2026'!$C$4:$F$10,0,Rate!$B$21))*(MAX(0,Rate!$B$6-Rate!$B$22)-INDEX('Tax 2026'!$C$4:$F$10,0,Rate!$B$21))*'Tax 2026'!$G$4:$G$10)</f>
        <v>13203.7351551292</v>
      </c>
      <c r="T8" s="15" t="n">
        <f aca="false">C8*Rate!$B$7</f>
        <v>7444.25361953875</v>
      </c>
      <c r="U8" s="15" t="n">
        <f aca="false">S8+H8+T8</f>
        <v>41684.7795206587</v>
      </c>
      <c r="V8" s="15" t="n">
        <f aca="false">B8-Rate!$B$8-U8-Rate!$B$9-Rate!$B$10</f>
        <v>90000.2928701163</v>
      </c>
      <c r="W8" s="15" t="n">
        <f aca="false">B8+(Rate!$B$4-V8)/(1-0.35)</f>
        <v>157884.621821365</v>
      </c>
    </row>
    <row r="9" customFormat="false" ht="15" hidden="false" customHeight="false" outlineLevel="0" collapsed="false">
      <c r="A9" s="14" t="n">
        <v>3</v>
      </c>
      <c r="B9" s="15" t="n">
        <f aca="false">W8</f>
        <v>157884.621821365</v>
      </c>
      <c r="C9" s="15" t="n">
        <f aca="false">MAX(0,B9-Rate!$B$8)</f>
        <v>148884.621821365</v>
      </c>
      <c r="D9" s="15" t="n">
        <f aca="false">IF(C9*'Tax 2026'!$B$23&gt;='Tax 2026'!$B$24,C9*'Tax 2026'!$B$23,0)</f>
        <v>137494.948252031</v>
      </c>
      <c r="E9" s="15" t="n">
        <f aca="false">MIN(D9,'Tax 2026'!$B$19)*'Tax 2026'!$B$20</f>
        <v>17049.3735832518</v>
      </c>
      <c r="F9" s="15" t="n">
        <f aca="false">D9*'Tax 2026'!$B$21</f>
        <v>3987.3534993089</v>
      </c>
      <c r="G9" s="15" t="n">
        <f aca="false">MAX(0,MIN(D9,D9-INDEX('Tax 2026'!$D$13:$D$16,Rate!$B$21)))*'Tax 2026'!$B$22</f>
        <v>0</v>
      </c>
      <c r="H9" s="15" t="n">
        <f aca="false">E9+F9+G9</f>
        <v>21036.7270825607</v>
      </c>
      <c r="I9" s="15" t="n">
        <f aca="false">(E9+F9)/2</f>
        <v>10518.3635412804</v>
      </c>
      <c r="J9" s="15" t="n">
        <f aca="false">MIN(Rate!$B$9,MAX(0,C9-I9))</f>
        <v>7200</v>
      </c>
      <c r="K9" s="15" t="n">
        <f aca="false">MIN(Rate!$B$10,MAX(0,C9-I9-J9))</f>
        <v>10000</v>
      </c>
      <c r="L9" s="15" t="n">
        <f aca="false">Rate!$B$6+C9-I9-J9-K9</f>
        <v>121166.258280085</v>
      </c>
      <c r="M9" s="15" t="n">
        <f aca="false">MAX(0,L9-Rate!$B$22)</f>
        <v>105066.258280085</v>
      </c>
      <c r="N9" s="15" t="n">
        <f aca="false">MAX(0,C9-I9-J9-K9)</f>
        <v>121166.258280085</v>
      </c>
      <c r="O9" s="15" t="n">
        <f aca="false">IF(N9&lt;=0,0,IF(M9&lt;=INDEX('Tax 2026'!$E$13:$E$16,Rate!$B$21),MIN('Tax 2026'!$B$25*N9,'Tax 2026'!$B$25*M9),IF(M9&lt;INDEX('Tax 2026'!$E$13:$E$16,Rate!$B$21)+INDEX('Tax 2026'!$F$13:$F$16,Rate!$B$21),MIN('Tax 2026'!$B$25*N9*(1-(M9-INDEX('Tax 2026'!$E$13:$E$16,Rate!$B$21))/INDEX('Tax 2026'!$F$13:$F$16,Rate!$B$21)),'Tax 2026'!$B$25*M9),0)))</f>
        <v>21013.251656017</v>
      </c>
      <c r="P9" s="15" t="n">
        <f aca="false">IF(AND(N9&gt;='Tax 2026'!$B$27,O9&lt;'Tax 2026'!$B$26),MIN('Tax 2026'!$B$26,M9),O9)</f>
        <v>21013.251656017</v>
      </c>
      <c r="Q9" s="15" t="n">
        <f aca="false">MAX(0,M9-P9)</f>
        <v>84053.006624068</v>
      </c>
      <c r="R9" s="15" t="n">
        <f aca="false">SUMPRODUCT((Q9&gt;INDEX('Tax 2026'!$C$4:$F$10,0,Rate!$B$21))*(Q9-INDEX('Tax 2026'!$C$4:$F$10,0,Rate!$B$21))*'Tax 2026'!$G$4:$G$10)</f>
        <v>13203.661457295</v>
      </c>
      <c r="S9" s="15" t="n">
        <f aca="false">R9-SUMPRODUCT((MAX(0,Rate!$B$6-Rate!$B$22)&gt;INDEX('Tax 2026'!$C$4:$F$10,0,Rate!$B$21))*(MAX(0,Rate!$B$6-Rate!$B$22)-INDEX('Tax 2026'!$C$4:$F$10,0,Rate!$B$21))*'Tax 2026'!$G$4:$G$10)</f>
        <v>13203.661457295</v>
      </c>
      <c r="T9" s="15" t="n">
        <f aca="false">C9*Rate!$B$7</f>
        <v>7444.23109106827</v>
      </c>
      <c r="U9" s="15" t="n">
        <f aca="false">S9+H9+T9</f>
        <v>41684.6196309239</v>
      </c>
      <c r="V9" s="15" t="n">
        <f aca="false">B9-Rate!$B$8-U9-Rate!$B$9-Rate!$B$10</f>
        <v>90000.0021904414</v>
      </c>
      <c r="W9" s="15" t="n">
        <f aca="false">B9+(Rate!$B$4-V9)/(1-0.35)</f>
        <v>157884.618451456</v>
      </c>
    </row>
    <row r="10" customFormat="false" ht="15" hidden="false" customHeight="false" outlineLevel="0" collapsed="false">
      <c r="A10" s="14" t="n">
        <v>4</v>
      </c>
      <c r="B10" s="15" t="n">
        <f aca="false">W9</f>
        <v>157884.618451456</v>
      </c>
      <c r="C10" s="15" t="n">
        <f aca="false">MAX(0,B10-Rate!$B$8)</f>
        <v>148884.618451456</v>
      </c>
      <c r="D10" s="15" t="n">
        <f aca="false">IF(C10*'Tax 2026'!$B$23&gt;='Tax 2026'!$B$24,C10*'Tax 2026'!$B$23,0)</f>
        <v>137494.945139919</v>
      </c>
      <c r="E10" s="15" t="n">
        <f aca="false">MIN(D10,'Tax 2026'!$B$19)*'Tax 2026'!$B$20</f>
        <v>17049.37319735</v>
      </c>
      <c r="F10" s="15" t="n">
        <f aca="false">D10*'Tax 2026'!$B$21</f>
        <v>3987.35340905766</v>
      </c>
      <c r="G10" s="15" t="n">
        <f aca="false">MAX(0,MIN(D10,D10-INDEX('Tax 2026'!$D$13:$D$16,Rate!$B$21)))*'Tax 2026'!$B$22</f>
        <v>0</v>
      </c>
      <c r="H10" s="15" t="n">
        <f aca="false">E10+F10+G10</f>
        <v>21036.7266064076</v>
      </c>
      <c r="I10" s="15" t="n">
        <f aca="false">(E10+F10)/2</f>
        <v>10518.3633032038</v>
      </c>
      <c r="J10" s="15" t="n">
        <f aca="false">MIN(Rate!$B$9,MAX(0,C10-I10))</f>
        <v>7200</v>
      </c>
      <c r="K10" s="15" t="n">
        <f aca="false">MIN(Rate!$B$10,MAX(0,C10-I10-J10))</f>
        <v>10000</v>
      </c>
      <c r="L10" s="15" t="n">
        <f aca="false">Rate!$B$6+C10-I10-J10-K10</f>
        <v>121166.255148252</v>
      </c>
      <c r="M10" s="15" t="n">
        <f aca="false">MAX(0,L10-Rate!$B$22)</f>
        <v>105066.255148252</v>
      </c>
      <c r="N10" s="15" t="n">
        <f aca="false">MAX(0,C10-I10-J10-K10)</f>
        <v>121166.255148252</v>
      </c>
      <c r="O10" s="15" t="n">
        <f aca="false">IF(N10&lt;=0,0,IF(M10&lt;=INDEX('Tax 2026'!$E$13:$E$16,Rate!$B$21),MIN('Tax 2026'!$B$25*N10,'Tax 2026'!$B$25*M10),IF(M10&lt;INDEX('Tax 2026'!$E$13:$E$16,Rate!$B$21)+INDEX('Tax 2026'!$F$13:$F$16,Rate!$B$21),MIN('Tax 2026'!$B$25*N10*(1-(M10-INDEX('Tax 2026'!$E$13:$E$16,Rate!$B$21))/INDEX('Tax 2026'!$F$13:$F$16,Rate!$B$21)),'Tax 2026'!$B$25*M10),0)))</f>
        <v>21013.2510296503</v>
      </c>
      <c r="P10" s="15" t="n">
        <f aca="false">IF(AND(N10&gt;='Tax 2026'!$B$27,O10&lt;'Tax 2026'!$B$26),MIN('Tax 2026'!$B$26,M10),O10)</f>
        <v>21013.2510296503</v>
      </c>
      <c r="Q10" s="15" t="n">
        <f aca="false">MAX(0,M10-P10)</f>
        <v>84053.0041186014</v>
      </c>
      <c r="R10" s="15" t="n">
        <f aca="false">SUMPRODUCT((Q10&gt;INDEX('Tax 2026'!$C$4:$F$10,0,Rate!$B$21))*(Q10-INDEX('Tax 2026'!$C$4:$F$10,0,Rate!$B$21))*'Tax 2026'!$G$4:$G$10)</f>
        <v>13203.6609060923</v>
      </c>
      <c r="S10" s="15" t="n">
        <f aca="false">R10-SUMPRODUCT((MAX(0,Rate!$B$6-Rate!$B$22)&gt;INDEX('Tax 2026'!$C$4:$F$10,0,Rate!$B$21))*(MAX(0,Rate!$B$6-Rate!$B$22)-INDEX('Tax 2026'!$C$4:$F$10,0,Rate!$B$21))*'Tax 2026'!$G$4:$G$10)</f>
        <v>13203.6609060923</v>
      </c>
      <c r="T10" s="15" t="n">
        <f aca="false">C10*Rate!$B$7</f>
        <v>7444.23092257278</v>
      </c>
      <c r="U10" s="15" t="n">
        <f aca="false">S10+H10+T10</f>
        <v>41684.6184350727</v>
      </c>
      <c r="V10" s="15" t="n">
        <f aca="false">B10-Rate!$B$8-U10-Rate!$B$9-Rate!$B$10</f>
        <v>90000.0000163828</v>
      </c>
      <c r="W10" s="15" t="n">
        <f aca="false">B10+(Rate!$B$4-V10)/(1-0.35)</f>
        <v>157884.618426251</v>
      </c>
    </row>
    <row r="11" customFormat="false" ht="15" hidden="false" customHeight="false" outlineLevel="0" collapsed="false">
      <c r="A11" s="14" t="n">
        <v>5</v>
      </c>
      <c r="B11" s="15" t="n">
        <f aca="false">W10</f>
        <v>157884.618426251</v>
      </c>
      <c r="C11" s="15" t="n">
        <f aca="false">MAX(0,B11-Rate!$B$8)</f>
        <v>148884.618426251</v>
      </c>
      <c r="D11" s="15" t="n">
        <f aca="false">IF(C11*'Tax 2026'!$B$23&gt;='Tax 2026'!$B$24,C11*'Tax 2026'!$B$23,0)</f>
        <v>137494.945116643</v>
      </c>
      <c r="E11" s="15" t="n">
        <f aca="false">MIN(D11,'Tax 2026'!$B$19)*'Tax 2026'!$B$20</f>
        <v>17049.3731944637</v>
      </c>
      <c r="F11" s="15" t="n">
        <f aca="false">D11*'Tax 2026'!$B$21</f>
        <v>3987.35340838265</v>
      </c>
      <c r="G11" s="15" t="n">
        <f aca="false">MAX(0,MIN(D11,D11-INDEX('Tax 2026'!$D$13:$D$16,Rate!$B$21)))*'Tax 2026'!$B$22</f>
        <v>0</v>
      </c>
      <c r="H11" s="15" t="n">
        <f aca="false">E11+F11+G11</f>
        <v>21036.7266028464</v>
      </c>
      <c r="I11" s="15" t="n">
        <f aca="false">(E11+F11)/2</f>
        <v>10518.3633014232</v>
      </c>
      <c r="J11" s="15" t="n">
        <f aca="false">MIN(Rate!$B$9,MAX(0,C11-I11))</f>
        <v>7200</v>
      </c>
      <c r="K11" s="15" t="n">
        <f aca="false">MIN(Rate!$B$10,MAX(0,C11-I11-J11))</f>
        <v>10000</v>
      </c>
      <c r="L11" s="15" t="n">
        <f aca="false">Rate!$B$6+C11-I11-J11-K11</f>
        <v>121166.255124828</v>
      </c>
      <c r="M11" s="15" t="n">
        <f aca="false">MAX(0,L11-Rate!$B$22)</f>
        <v>105066.255124828</v>
      </c>
      <c r="N11" s="15" t="n">
        <f aca="false">MAX(0,C11-I11-J11-K11)</f>
        <v>121166.255124828</v>
      </c>
      <c r="O11" s="15" t="n">
        <f aca="false">IF(N11&lt;=0,0,IF(M11&lt;=INDEX('Tax 2026'!$E$13:$E$16,Rate!$B$21),MIN('Tax 2026'!$B$25*N11,'Tax 2026'!$B$25*M11),IF(M11&lt;INDEX('Tax 2026'!$E$13:$E$16,Rate!$B$21)+INDEX('Tax 2026'!$F$13:$F$16,Rate!$B$21),MIN('Tax 2026'!$B$25*N11*(1-(M11-INDEX('Tax 2026'!$E$13:$E$16,Rate!$B$21))/INDEX('Tax 2026'!$F$13:$F$16,Rate!$B$21)),'Tax 2026'!$B$25*M11),0)))</f>
        <v>21013.2510249656</v>
      </c>
      <c r="P11" s="15" t="n">
        <f aca="false">IF(AND(N11&gt;='Tax 2026'!$B$27,O11&lt;'Tax 2026'!$B$26),MIN('Tax 2026'!$B$26,M11),O11)</f>
        <v>21013.2510249656</v>
      </c>
      <c r="Q11" s="15" t="n">
        <f aca="false">MAX(0,M11-P11)</f>
        <v>84053.0040998624</v>
      </c>
      <c r="R11" s="15" t="n">
        <f aca="false">SUMPRODUCT((Q11&gt;INDEX('Tax 2026'!$C$4:$F$10,0,Rate!$B$21))*(Q11-INDEX('Tax 2026'!$C$4:$F$10,0,Rate!$B$21))*'Tax 2026'!$G$4:$G$10)</f>
        <v>13203.6609019697</v>
      </c>
      <c r="S11" s="15" t="n">
        <f aca="false">R11-SUMPRODUCT((MAX(0,Rate!$B$6-Rate!$B$22)&gt;INDEX('Tax 2026'!$C$4:$F$10,0,Rate!$B$21))*(MAX(0,Rate!$B$6-Rate!$B$22)-INDEX('Tax 2026'!$C$4:$F$10,0,Rate!$B$21))*'Tax 2026'!$G$4:$G$10)</f>
        <v>13203.6609019697</v>
      </c>
      <c r="T11" s="15" t="n">
        <f aca="false">C11*Rate!$B$7</f>
        <v>7444.23092131256</v>
      </c>
      <c r="U11" s="15" t="n">
        <f aca="false">S11+H11+T11</f>
        <v>41684.6184261287</v>
      </c>
      <c r="V11" s="15" t="n">
        <f aca="false">B11-Rate!$B$8-U11-Rate!$B$9-Rate!$B$10</f>
        <v>90000.0000001225</v>
      </c>
      <c r="W11" s="15" t="n">
        <f aca="false">B11+(Rate!$B$4-V11)/(1-0.35)</f>
        <v>157884.618426063</v>
      </c>
    </row>
    <row r="12" customFormat="false" ht="15" hidden="false" customHeight="false" outlineLevel="0" collapsed="false">
      <c r="A12" s="14" t="n">
        <v>6</v>
      </c>
      <c r="B12" s="15" t="n">
        <f aca="false">W11</f>
        <v>157884.618426063</v>
      </c>
      <c r="C12" s="15" t="n">
        <f aca="false">MAX(0,B12-Rate!$B$8)</f>
        <v>148884.618426063</v>
      </c>
      <c r="D12" s="15" t="n">
        <f aca="false">IF(C12*'Tax 2026'!$B$23&gt;='Tax 2026'!$B$24,C12*'Tax 2026'!$B$23,0)</f>
        <v>137494.945116469</v>
      </c>
      <c r="E12" s="15" t="n">
        <f aca="false">MIN(D12,'Tax 2026'!$B$19)*'Tax 2026'!$B$20</f>
        <v>17049.3731944421</v>
      </c>
      <c r="F12" s="15" t="n">
        <f aca="false">D12*'Tax 2026'!$B$21</f>
        <v>3987.3534083776</v>
      </c>
      <c r="G12" s="15" t="n">
        <f aca="false">MAX(0,MIN(D12,D12-INDEX('Tax 2026'!$D$13:$D$16,Rate!$B$21)))*'Tax 2026'!$B$22</f>
        <v>0</v>
      </c>
      <c r="H12" s="15" t="n">
        <f aca="false">E12+F12+G12</f>
        <v>21036.7266028197</v>
      </c>
      <c r="I12" s="15" t="n">
        <f aca="false">(E12+F12)/2</f>
        <v>10518.3633014099</v>
      </c>
      <c r="J12" s="15" t="n">
        <f aca="false">MIN(Rate!$B$9,MAX(0,C12-I12))</f>
        <v>7200</v>
      </c>
      <c r="K12" s="15" t="n">
        <f aca="false">MIN(Rate!$B$10,MAX(0,C12-I12-J12))</f>
        <v>10000</v>
      </c>
      <c r="L12" s="15" t="n">
        <f aca="false">Rate!$B$6+C12-I12-J12-K12</f>
        <v>121166.255124653</v>
      </c>
      <c r="M12" s="15" t="n">
        <f aca="false">MAX(0,L12-Rate!$B$22)</f>
        <v>105066.255124653</v>
      </c>
      <c r="N12" s="15" t="n">
        <f aca="false">MAX(0,C12-I12-J12-K12)</f>
        <v>121166.255124653</v>
      </c>
      <c r="O12" s="15" t="n">
        <f aca="false">IF(N12&lt;=0,0,IF(M12&lt;=INDEX('Tax 2026'!$E$13:$E$16,Rate!$B$21),MIN('Tax 2026'!$B$25*N12,'Tax 2026'!$B$25*M12),IF(M12&lt;INDEX('Tax 2026'!$E$13:$E$16,Rate!$B$21)+INDEX('Tax 2026'!$F$13:$F$16,Rate!$B$21),MIN('Tax 2026'!$B$25*N12*(1-(M12-INDEX('Tax 2026'!$E$13:$E$16,Rate!$B$21))/INDEX('Tax 2026'!$F$13:$F$16,Rate!$B$21)),'Tax 2026'!$B$25*M12),0)))</f>
        <v>21013.2510249306</v>
      </c>
      <c r="P12" s="15" t="n">
        <f aca="false">IF(AND(N12&gt;='Tax 2026'!$B$27,O12&lt;'Tax 2026'!$B$26),MIN('Tax 2026'!$B$26,M12),O12)</f>
        <v>21013.2510249306</v>
      </c>
      <c r="Q12" s="15" t="n">
        <f aca="false">MAX(0,M12-P12)</f>
        <v>84053.0040997223</v>
      </c>
      <c r="R12" s="15" t="n">
        <f aca="false">SUMPRODUCT((Q12&gt;INDEX('Tax 2026'!$C$4:$F$10,0,Rate!$B$21))*(Q12-INDEX('Tax 2026'!$C$4:$F$10,0,Rate!$B$21))*'Tax 2026'!$G$4:$G$10)</f>
        <v>13203.6609019389</v>
      </c>
      <c r="S12" s="15" t="n">
        <f aca="false">R12-SUMPRODUCT((MAX(0,Rate!$B$6-Rate!$B$22)&gt;INDEX('Tax 2026'!$C$4:$F$10,0,Rate!$B$21))*(MAX(0,Rate!$B$6-Rate!$B$22)-INDEX('Tax 2026'!$C$4:$F$10,0,Rate!$B$21))*'Tax 2026'!$G$4:$G$10)</f>
        <v>13203.6609019389</v>
      </c>
      <c r="T12" s="15" t="n">
        <f aca="false">C12*Rate!$B$7</f>
        <v>7444.23092130314</v>
      </c>
      <c r="U12" s="15" t="n">
        <f aca="false">S12+H12+T12</f>
        <v>41684.6184260618</v>
      </c>
      <c r="V12" s="15" t="n">
        <f aca="false">B12-Rate!$B$8-U12-Rate!$B$9-Rate!$B$10</f>
        <v>90000.0000000009</v>
      </c>
      <c r="W12" s="15" t="n">
        <f aca="false">B12+(Rate!$B$4-V12)/(1-0.35)</f>
        <v>157884.618426061</v>
      </c>
    </row>
    <row r="13" customFormat="false" ht="15" hidden="false" customHeight="false" outlineLevel="0" collapsed="false">
      <c r="A13" s="14" t="n">
        <v>7</v>
      </c>
      <c r="B13" s="15" t="n">
        <f aca="false">W12</f>
        <v>157884.618426061</v>
      </c>
      <c r="C13" s="15" t="n">
        <f aca="false">MAX(0,B13-Rate!$B$8)</f>
        <v>148884.618426061</v>
      </c>
      <c r="D13" s="15" t="n">
        <f aca="false">IF(C13*'Tax 2026'!$B$23&gt;='Tax 2026'!$B$24,C13*'Tax 2026'!$B$23,0)</f>
        <v>137494.945116468</v>
      </c>
      <c r="E13" s="15" t="n">
        <f aca="false">MIN(D13,'Tax 2026'!$B$19)*'Tax 2026'!$B$20</f>
        <v>17049.373194442</v>
      </c>
      <c r="F13" s="15" t="n">
        <f aca="false">D13*'Tax 2026'!$B$21</f>
        <v>3987.35340837756</v>
      </c>
      <c r="G13" s="15" t="n">
        <f aca="false">MAX(0,MIN(D13,D13-INDEX('Tax 2026'!$D$13:$D$16,Rate!$B$21)))*'Tax 2026'!$B$22</f>
        <v>0</v>
      </c>
      <c r="H13" s="15" t="n">
        <f aca="false">E13+F13+G13</f>
        <v>21036.7266028195</v>
      </c>
      <c r="I13" s="15" t="n">
        <f aca="false">(E13+F13)/2</f>
        <v>10518.3633014098</v>
      </c>
      <c r="J13" s="15" t="n">
        <f aca="false">MIN(Rate!$B$9,MAX(0,C13-I13))</f>
        <v>7200</v>
      </c>
      <c r="K13" s="15" t="n">
        <f aca="false">MIN(Rate!$B$10,MAX(0,C13-I13-J13))</f>
        <v>10000</v>
      </c>
      <c r="L13" s="15" t="n">
        <f aca="false">Rate!$B$6+C13-I13-J13-K13</f>
        <v>121166.255124652</v>
      </c>
      <c r="M13" s="15" t="n">
        <f aca="false">MAX(0,L13-Rate!$B$22)</f>
        <v>105066.255124652</v>
      </c>
      <c r="N13" s="15" t="n">
        <f aca="false">MAX(0,C13-I13-J13-K13)</f>
        <v>121166.255124652</v>
      </c>
      <c r="O13" s="15" t="n">
        <f aca="false">IF(N13&lt;=0,0,IF(M13&lt;=INDEX('Tax 2026'!$E$13:$E$16,Rate!$B$21),MIN('Tax 2026'!$B$25*N13,'Tax 2026'!$B$25*M13),IF(M13&lt;INDEX('Tax 2026'!$E$13:$E$16,Rate!$B$21)+INDEX('Tax 2026'!$F$13:$F$16,Rate!$B$21),MIN('Tax 2026'!$B$25*N13*(1-(M13-INDEX('Tax 2026'!$E$13:$E$16,Rate!$B$21))/INDEX('Tax 2026'!$F$13:$F$16,Rate!$B$21)),'Tax 2026'!$B$25*M13),0)))</f>
        <v>21013.2510249303</v>
      </c>
      <c r="P13" s="15" t="n">
        <f aca="false">IF(AND(N13&gt;='Tax 2026'!$B$27,O13&lt;'Tax 2026'!$B$26),MIN('Tax 2026'!$B$26,M13),O13)</f>
        <v>21013.2510249303</v>
      </c>
      <c r="Q13" s="15" t="n">
        <f aca="false">MAX(0,M13-P13)</f>
        <v>84053.0040997212</v>
      </c>
      <c r="R13" s="15" t="n">
        <f aca="false">SUMPRODUCT((Q13&gt;INDEX('Tax 2026'!$C$4:$F$10,0,Rate!$B$21))*(Q13-INDEX('Tax 2026'!$C$4:$F$10,0,Rate!$B$21))*'Tax 2026'!$G$4:$G$10)</f>
        <v>13203.6609019387</v>
      </c>
      <c r="S13" s="15" t="n">
        <f aca="false">R13-SUMPRODUCT((MAX(0,Rate!$B$6-Rate!$B$22)&gt;INDEX('Tax 2026'!$C$4:$F$10,0,Rate!$B$21))*(MAX(0,Rate!$B$6-Rate!$B$22)-INDEX('Tax 2026'!$C$4:$F$10,0,Rate!$B$21))*'Tax 2026'!$G$4:$G$10)</f>
        <v>13203.6609019387</v>
      </c>
      <c r="T13" s="15" t="n">
        <f aca="false">C13*Rate!$B$7</f>
        <v>7444.23092130306</v>
      </c>
      <c r="U13" s="15" t="n">
        <f aca="false">S13+H13+T13</f>
        <v>41684.6184260613</v>
      </c>
      <c r="V13" s="15" t="n">
        <f aca="false">B13-Rate!$B$8-U13-Rate!$B$9-Rate!$B$10</f>
        <v>90000</v>
      </c>
      <c r="W13" s="15" t="n">
        <f aca="false">B13+(Rate!$B$4-V13)/(1-0.35)</f>
        <v>157884.618426061</v>
      </c>
    </row>
    <row r="14" customFormat="false" ht="15" hidden="false" customHeight="false" outlineLevel="0" collapsed="false">
      <c r="A14" s="14" t="n">
        <v>8</v>
      </c>
      <c r="B14" s="15" t="n">
        <f aca="false">W13</f>
        <v>157884.618426061</v>
      </c>
      <c r="C14" s="15" t="n">
        <f aca="false">MAX(0,B14-Rate!$B$8)</f>
        <v>148884.618426061</v>
      </c>
      <c r="D14" s="15" t="n">
        <f aca="false">IF(C14*'Tax 2026'!$B$23&gt;='Tax 2026'!$B$24,C14*'Tax 2026'!$B$23,0)</f>
        <v>137494.945116468</v>
      </c>
      <c r="E14" s="15" t="n">
        <f aca="false">MIN(D14,'Tax 2026'!$B$19)*'Tax 2026'!$B$20</f>
        <v>17049.373194442</v>
      </c>
      <c r="F14" s="15" t="n">
        <f aca="false">D14*'Tax 2026'!$B$21</f>
        <v>3987.35340837756</v>
      </c>
      <c r="G14" s="15" t="n">
        <f aca="false">MAX(0,MIN(D14,D14-INDEX('Tax 2026'!$D$13:$D$16,Rate!$B$21)))*'Tax 2026'!$B$22</f>
        <v>0</v>
      </c>
      <c r="H14" s="15" t="n">
        <f aca="false">E14+F14+G14</f>
        <v>21036.7266028195</v>
      </c>
      <c r="I14" s="15" t="n">
        <f aca="false">(E14+F14)/2</f>
        <v>10518.3633014098</v>
      </c>
      <c r="J14" s="15" t="n">
        <f aca="false">MIN(Rate!$B$9,MAX(0,C14-I14))</f>
        <v>7200</v>
      </c>
      <c r="K14" s="15" t="n">
        <f aca="false">MIN(Rate!$B$10,MAX(0,C14-I14-J14))</f>
        <v>10000</v>
      </c>
      <c r="L14" s="15" t="n">
        <f aca="false">Rate!$B$6+C14-I14-J14-K14</f>
        <v>121166.255124652</v>
      </c>
      <c r="M14" s="15" t="n">
        <f aca="false">MAX(0,L14-Rate!$B$22)</f>
        <v>105066.255124652</v>
      </c>
      <c r="N14" s="15" t="n">
        <f aca="false">MAX(0,C14-I14-J14-K14)</f>
        <v>121166.255124652</v>
      </c>
      <c r="O14" s="15" t="n">
        <f aca="false">IF(N14&lt;=0,0,IF(M14&lt;=INDEX('Tax 2026'!$E$13:$E$16,Rate!$B$21),MIN('Tax 2026'!$B$25*N14,'Tax 2026'!$B$25*M14),IF(M14&lt;INDEX('Tax 2026'!$E$13:$E$16,Rate!$B$21)+INDEX('Tax 2026'!$F$13:$F$16,Rate!$B$21),MIN('Tax 2026'!$B$25*N14*(1-(M14-INDEX('Tax 2026'!$E$13:$E$16,Rate!$B$21))/INDEX('Tax 2026'!$F$13:$F$16,Rate!$B$21)),'Tax 2026'!$B$25*M14),0)))</f>
        <v>21013.2510249303</v>
      </c>
      <c r="P14" s="15" t="n">
        <f aca="false">IF(AND(N14&gt;='Tax 2026'!$B$27,O14&lt;'Tax 2026'!$B$26),MIN('Tax 2026'!$B$26,M14),O14)</f>
        <v>21013.2510249303</v>
      </c>
      <c r="Q14" s="15" t="n">
        <f aca="false">MAX(0,M14-P14)</f>
        <v>84053.0040997212</v>
      </c>
      <c r="R14" s="15" t="n">
        <f aca="false">SUMPRODUCT((Q14&gt;INDEX('Tax 2026'!$C$4:$F$10,0,Rate!$B$21))*(Q14-INDEX('Tax 2026'!$C$4:$F$10,0,Rate!$B$21))*'Tax 2026'!$G$4:$G$10)</f>
        <v>13203.6609019387</v>
      </c>
      <c r="S14" s="15" t="n">
        <f aca="false">R14-SUMPRODUCT((MAX(0,Rate!$B$6-Rate!$B$22)&gt;INDEX('Tax 2026'!$C$4:$F$10,0,Rate!$B$21))*(MAX(0,Rate!$B$6-Rate!$B$22)-INDEX('Tax 2026'!$C$4:$F$10,0,Rate!$B$21))*'Tax 2026'!$G$4:$G$10)</f>
        <v>13203.6609019387</v>
      </c>
      <c r="T14" s="15" t="n">
        <f aca="false">C14*Rate!$B$7</f>
        <v>7444.23092130306</v>
      </c>
      <c r="U14" s="15" t="n">
        <f aca="false">S14+H14+T14</f>
        <v>41684.6184260613</v>
      </c>
      <c r="V14" s="15" t="n">
        <f aca="false">B14-Rate!$B$8-U14-Rate!$B$9-Rate!$B$10</f>
        <v>90000</v>
      </c>
      <c r="W14" s="15" t="n">
        <f aca="false">B14+(Rate!$B$4-V14)/(1-0.35)</f>
        <v>157884.618426061</v>
      </c>
    </row>
    <row r="15" customFormat="false" ht="15" hidden="false" customHeight="false" outlineLevel="0" collapsed="false">
      <c r="A15" s="14" t="n">
        <v>9</v>
      </c>
      <c r="B15" s="15" t="n">
        <f aca="false">W14</f>
        <v>157884.618426061</v>
      </c>
      <c r="C15" s="15" t="n">
        <f aca="false">MAX(0,B15-Rate!$B$8)</f>
        <v>148884.618426061</v>
      </c>
      <c r="D15" s="15" t="n">
        <f aca="false">IF(C15*'Tax 2026'!$B$23&gt;='Tax 2026'!$B$24,C15*'Tax 2026'!$B$23,0)</f>
        <v>137494.945116468</v>
      </c>
      <c r="E15" s="15" t="n">
        <f aca="false">MIN(D15,'Tax 2026'!$B$19)*'Tax 2026'!$B$20</f>
        <v>17049.373194442</v>
      </c>
      <c r="F15" s="15" t="n">
        <f aca="false">D15*'Tax 2026'!$B$21</f>
        <v>3987.35340837756</v>
      </c>
      <c r="G15" s="15" t="n">
        <f aca="false">MAX(0,MIN(D15,D15-INDEX('Tax 2026'!$D$13:$D$16,Rate!$B$21)))*'Tax 2026'!$B$22</f>
        <v>0</v>
      </c>
      <c r="H15" s="15" t="n">
        <f aca="false">E15+F15+G15</f>
        <v>21036.7266028195</v>
      </c>
      <c r="I15" s="15" t="n">
        <f aca="false">(E15+F15)/2</f>
        <v>10518.3633014098</v>
      </c>
      <c r="J15" s="15" t="n">
        <f aca="false">MIN(Rate!$B$9,MAX(0,C15-I15))</f>
        <v>7200</v>
      </c>
      <c r="K15" s="15" t="n">
        <f aca="false">MIN(Rate!$B$10,MAX(0,C15-I15-J15))</f>
        <v>10000</v>
      </c>
      <c r="L15" s="15" t="n">
        <f aca="false">Rate!$B$6+C15-I15-J15-K15</f>
        <v>121166.255124652</v>
      </c>
      <c r="M15" s="15" t="n">
        <f aca="false">MAX(0,L15-Rate!$B$22)</f>
        <v>105066.255124652</v>
      </c>
      <c r="N15" s="15" t="n">
        <f aca="false">MAX(0,C15-I15-J15-K15)</f>
        <v>121166.255124652</v>
      </c>
      <c r="O15" s="15" t="n">
        <f aca="false">IF(N15&lt;=0,0,IF(M15&lt;=INDEX('Tax 2026'!$E$13:$E$16,Rate!$B$21),MIN('Tax 2026'!$B$25*N15,'Tax 2026'!$B$25*M15),IF(M15&lt;INDEX('Tax 2026'!$E$13:$E$16,Rate!$B$21)+INDEX('Tax 2026'!$F$13:$F$16,Rate!$B$21),MIN('Tax 2026'!$B$25*N15*(1-(M15-INDEX('Tax 2026'!$E$13:$E$16,Rate!$B$21))/INDEX('Tax 2026'!$F$13:$F$16,Rate!$B$21)),'Tax 2026'!$B$25*M15),0)))</f>
        <v>21013.2510249303</v>
      </c>
      <c r="P15" s="15" t="n">
        <f aca="false">IF(AND(N15&gt;='Tax 2026'!$B$27,O15&lt;'Tax 2026'!$B$26),MIN('Tax 2026'!$B$26,M15),O15)</f>
        <v>21013.2510249303</v>
      </c>
      <c r="Q15" s="15" t="n">
        <f aca="false">MAX(0,M15-P15)</f>
        <v>84053.0040997212</v>
      </c>
      <c r="R15" s="15" t="n">
        <f aca="false">SUMPRODUCT((Q15&gt;INDEX('Tax 2026'!$C$4:$F$10,0,Rate!$B$21))*(Q15-INDEX('Tax 2026'!$C$4:$F$10,0,Rate!$B$21))*'Tax 2026'!$G$4:$G$10)</f>
        <v>13203.6609019387</v>
      </c>
      <c r="S15" s="15" t="n">
        <f aca="false">R15-SUMPRODUCT((MAX(0,Rate!$B$6-Rate!$B$22)&gt;INDEX('Tax 2026'!$C$4:$F$10,0,Rate!$B$21))*(MAX(0,Rate!$B$6-Rate!$B$22)-INDEX('Tax 2026'!$C$4:$F$10,0,Rate!$B$21))*'Tax 2026'!$G$4:$G$10)</f>
        <v>13203.6609019387</v>
      </c>
      <c r="T15" s="15" t="n">
        <f aca="false">C15*Rate!$B$7</f>
        <v>7444.23092130306</v>
      </c>
      <c r="U15" s="15" t="n">
        <f aca="false">S15+H15+T15</f>
        <v>41684.6184260613</v>
      </c>
      <c r="V15" s="15" t="n">
        <f aca="false">B15-Rate!$B$8-U15-Rate!$B$9-Rate!$B$10</f>
        <v>90000</v>
      </c>
      <c r="W15" s="15" t="n">
        <f aca="false">B15+(Rate!$B$4-V15)/(1-0.35)</f>
        <v>157884.618426061</v>
      </c>
    </row>
    <row r="16" customFormat="false" ht="15" hidden="false" customHeight="false" outlineLevel="0" collapsed="false">
      <c r="A16" s="14" t="n">
        <v>10</v>
      </c>
      <c r="B16" s="15" t="n">
        <f aca="false">W15</f>
        <v>157884.618426061</v>
      </c>
      <c r="C16" s="15" t="n">
        <f aca="false">MAX(0,B16-Rate!$B$8)</f>
        <v>148884.618426061</v>
      </c>
      <c r="D16" s="15" t="n">
        <f aca="false">IF(C16*'Tax 2026'!$B$23&gt;='Tax 2026'!$B$24,C16*'Tax 2026'!$B$23,0)</f>
        <v>137494.945116468</v>
      </c>
      <c r="E16" s="15" t="n">
        <f aca="false">MIN(D16,'Tax 2026'!$B$19)*'Tax 2026'!$B$20</f>
        <v>17049.373194442</v>
      </c>
      <c r="F16" s="15" t="n">
        <f aca="false">D16*'Tax 2026'!$B$21</f>
        <v>3987.35340837756</v>
      </c>
      <c r="G16" s="15" t="n">
        <f aca="false">MAX(0,MIN(D16,D16-INDEX('Tax 2026'!$D$13:$D$16,Rate!$B$21)))*'Tax 2026'!$B$22</f>
        <v>0</v>
      </c>
      <c r="H16" s="15" t="n">
        <f aca="false">E16+F16+G16</f>
        <v>21036.7266028195</v>
      </c>
      <c r="I16" s="15" t="n">
        <f aca="false">(E16+F16)/2</f>
        <v>10518.3633014098</v>
      </c>
      <c r="J16" s="15" t="n">
        <f aca="false">MIN(Rate!$B$9,MAX(0,C16-I16))</f>
        <v>7200</v>
      </c>
      <c r="K16" s="15" t="n">
        <f aca="false">MIN(Rate!$B$10,MAX(0,C16-I16-J16))</f>
        <v>10000</v>
      </c>
      <c r="L16" s="15" t="n">
        <f aca="false">Rate!$B$6+C16-I16-J16-K16</f>
        <v>121166.255124652</v>
      </c>
      <c r="M16" s="15" t="n">
        <f aca="false">MAX(0,L16-Rate!$B$22)</f>
        <v>105066.255124652</v>
      </c>
      <c r="N16" s="15" t="n">
        <f aca="false">MAX(0,C16-I16-J16-K16)</f>
        <v>121166.255124652</v>
      </c>
      <c r="O16" s="15" t="n">
        <f aca="false">IF(N16&lt;=0,0,IF(M16&lt;=INDEX('Tax 2026'!$E$13:$E$16,Rate!$B$21),MIN('Tax 2026'!$B$25*N16,'Tax 2026'!$B$25*M16),IF(M16&lt;INDEX('Tax 2026'!$E$13:$E$16,Rate!$B$21)+INDEX('Tax 2026'!$F$13:$F$16,Rate!$B$21),MIN('Tax 2026'!$B$25*N16*(1-(M16-INDEX('Tax 2026'!$E$13:$E$16,Rate!$B$21))/INDEX('Tax 2026'!$F$13:$F$16,Rate!$B$21)),'Tax 2026'!$B$25*M16),0)))</f>
        <v>21013.2510249303</v>
      </c>
      <c r="P16" s="15" t="n">
        <f aca="false">IF(AND(N16&gt;='Tax 2026'!$B$27,O16&lt;'Tax 2026'!$B$26),MIN('Tax 2026'!$B$26,M16),O16)</f>
        <v>21013.2510249303</v>
      </c>
      <c r="Q16" s="15" t="n">
        <f aca="false">MAX(0,M16-P16)</f>
        <v>84053.0040997212</v>
      </c>
      <c r="R16" s="15" t="n">
        <f aca="false">SUMPRODUCT((Q16&gt;INDEX('Tax 2026'!$C$4:$F$10,0,Rate!$B$21))*(Q16-INDEX('Tax 2026'!$C$4:$F$10,0,Rate!$B$21))*'Tax 2026'!$G$4:$G$10)</f>
        <v>13203.6609019387</v>
      </c>
      <c r="S16" s="15" t="n">
        <f aca="false">R16-SUMPRODUCT((MAX(0,Rate!$B$6-Rate!$B$22)&gt;INDEX('Tax 2026'!$C$4:$F$10,0,Rate!$B$21))*(MAX(0,Rate!$B$6-Rate!$B$22)-INDEX('Tax 2026'!$C$4:$F$10,0,Rate!$B$21))*'Tax 2026'!$G$4:$G$10)</f>
        <v>13203.6609019387</v>
      </c>
      <c r="T16" s="15" t="n">
        <f aca="false">C16*Rate!$B$7</f>
        <v>7444.23092130306</v>
      </c>
      <c r="U16" s="15" t="n">
        <f aca="false">S16+H16+T16</f>
        <v>41684.6184260613</v>
      </c>
      <c r="V16" s="15" t="n">
        <f aca="false">B16-Rate!$B$8-U16-Rate!$B$9-Rate!$B$10</f>
        <v>90000</v>
      </c>
      <c r="W16" s="15" t="n">
        <f aca="false">B16+(Rate!$B$4-V16)/(1-0.35)</f>
        <v>157884.618426061</v>
      </c>
    </row>
    <row r="17" customFormat="false" ht="15" hidden="false" customHeight="false" outlineLevel="0" collapsed="false">
      <c r="A17" s="14" t="n">
        <v>11</v>
      </c>
      <c r="B17" s="15" t="n">
        <f aca="false">W16</f>
        <v>157884.618426061</v>
      </c>
      <c r="C17" s="15" t="n">
        <f aca="false">MAX(0,B17-Rate!$B$8)</f>
        <v>148884.618426061</v>
      </c>
      <c r="D17" s="15" t="n">
        <f aca="false">IF(C17*'Tax 2026'!$B$23&gt;='Tax 2026'!$B$24,C17*'Tax 2026'!$B$23,0)</f>
        <v>137494.945116468</v>
      </c>
      <c r="E17" s="15" t="n">
        <f aca="false">MIN(D17,'Tax 2026'!$B$19)*'Tax 2026'!$B$20</f>
        <v>17049.373194442</v>
      </c>
      <c r="F17" s="15" t="n">
        <f aca="false">D17*'Tax 2026'!$B$21</f>
        <v>3987.35340837756</v>
      </c>
      <c r="G17" s="15" t="n">
        <f aca="false">MAX(0,MIN(D17,D17-INDEX('Tax 2026'!$D$13:$D$16,Rate!$B$21)))*'Tax 2026'!$B$22</f>
        <v>0</v>
      </c>
      <c r="H17" s="15" t="n">
        <f aca="false">E17+F17+G17</f>
        <v>21036.7266028195</v>
      </c>
      <c r="I17" s="15" t="n">
        <f aca="false">(E17+F17)/2</f>
        <v>10518.3633014098</v>
      </c>
      <c r="J17" s="15" t="n">
        <f aca="false">MIN(Rate!$B$9,MAX(0,C17-I17))</f>
        <v>7200</v>
      </c>
      <c r="K17" s="15" t="n">
        <f aca="false">MIN(Rate!$B$10,MAX(0,C17-I17-J17))</f>
        <v>10000</v>
      </c>
      <c r="L17" s="15" t="n">
        <f aca="false">Rate!$B$6+C17-I17-J17-K17</f>
        <v>121166.255124652</v>
      </c>
      <c r="M17" s="15" t="n">
        <f aca="false">MAX(0,L17-Rate!$B$22)</f>
        <v>105066.255124652</v>
      </c>
      <c r="N17" s="15" t="n">
        <f aca="false">MAX(0,C17-I17-J17-K17)</f>
        <v>121166.255124652</v>
      </c>
      <c r="O17" s="15" t="n">
        <f aca="false">IF(N17&lt;=0,0,IF(M17&lt;=INDEX('Tax 2026'!$E$13:$E$16,Rate!$B$21),MIN('Tax 2026'!$B$25*N17,'Tax 2026'!$B$25*M17),IF(M17&lt;INDEX('Tax 2026'!$E$13:$E$16,Rate!$B$21)+INDEX('Tax 2026'!$F$13:$F$16,Rate!$B$21),MIN('Tax 2026'!$B$25*N17*(1-(M17-INDEX('Tax 2026'!$E$13:$E$16,Rate!$B$21))/INDEX('Tax 2026'!$F$13:$F$16,Rate!$B$21)),'Tax 2026'!$B$25*M17),0)))</f>
        <v>21013.2510249303</v>
      </c>
      <c r="P17" s="15" t="n">
        <f aca="false">IF(AND(N17&gt;='Tax 2026'!$B$27,O17&lt;'Tax 2026'!$B$26),MIN('Tax 2026'!$B$26,M17),O17)</f>
        <v>21013.2510249303</v>
      </c>
      <c r="Q17" s="15" t="n">
        <f aca="false">MAX(0,M17-P17)</f>
        <v>84053.0040997212</v>
      </c>
      <c r="R17" s="15" t="n">
        <f aca="false">SUMPRODUCT((Q17&gt;INDEX('Tax 2026'!$C$4:$F$10,0,Rate!$B$21))*(Q17-INDEX('Tax 2026'!$C$4:$F$10,0,Rate!$B$21))*'Tax 2026'!$G$4:$G$10)</f>
        <v>13203.6609019387</v>
      </c>
      <c r="S17" s="15" t="n">
        <f aca="false">R17-SUMPRODUCT((MAX(0,Rate!$B$6-Rate!$B$22)&gt;INDEX('Tax 2026'!$C$4:$F$10,0,Rate!$B$21))*(MAX(0,Rate!$B$6-Rate!$B$22)-INDEX('Tax 2026'!$C$4:$F$10,0,Rate!$B$21))*'Tax 2026'!$G$4:$G$10)</f>
        <v>13203.6609019387</v>
      </c>
      <c r="T17" s="15" t="n">
        <f aca="false">C17*Rate!$B$7</f>
        <v>7444.23092130306</v>
      </c>
      <c r="U17" s="15" t="n">
        <f aca="false">S17+H17+T17</f>
        <v>41684.6184260613</v>
      </c>
      <c r="V17" s="15" t="n">
        <f aca="false">B17-Rate!$B$8-U17-Rate!$B$9-Rate!$B$10</f>
        <v>90000</v>
      </c>
      <c r="W17" s="15" t="n">
        <f aca="false">B17+(Rate!$B$4-V17)/(1-0.35)</f>
        <v>157884.618426061</v>
      </c>
    </row>
    <row r="18" customFormat="false" ht="15" hidden="false" customHeight="false" outlineLevel="0" collapsed="false">
      <c r="A18" s="14" t="n">
        <v>12</v>
      </c>
      <c r="B18" s="15" t="n">
        <f aca="false">W17</f>
        <v>157884.618426061</v>
      </c>
      <c r="C18" s="15" t="n">
        <f aca="false">MAX(0,B18-Rate!$B$8)</f>
        <v>148884.618426061</v>
      </c>
      <c r="D18" s="15" t="n">
        <f aca="false">IF(C18*'Tax 2026'!$B$23&gt;='Tax 2026'!$B$24,C18*'Tax 2026'!$B$23,0)</f>
        <v>137494.945116468</v>
      </c>
      <c r="E18" s="15" t="n">
        <f aca="false">MIN(D18,'Tax 2026'!$B$19)*'Tax 2026'!$B$20</f>
        <v>17049.373194442</v>
      </c>
      <c r="F18" s="15" t="n">
        <f aca="false">D18*'Tax 2026'!$B$21</f>
        <v>3987.35340837756</v>
      </c>
      <c r="G18" s="15" t="n">
        <f aca="false">MAX(0,MIN(D18,D18-INDEX('Tax 2026'!$D$13:$D$16,Rate!$B$21)))*'Tax 2026'!$B$22</f>
        <v>0</v>
      </c>
      <c r="H18" s="15" t="n">
        <f aca="false">E18+F18+G18</f>
        <v>21036.7266028195</v>
      </c>
      <c r="I18" s="15" t="n">
        <f aca="false">(E18+F18)/2</f>
        <v>10518.3633014098</v>
      </c>
      <c r="J18" s="15" t="n">
        <f aca="false">MIN(Rate!$B$9,MAX(0,C18-I18))</f>
        <v>7200</v>
      </c>
      <c r="K18" s="15" t="n">
        <f aca="false">MIN(Rate!$B$10,MAX(0,C18-I18-J18))</f>
        <v>10000</v>
      </c>
      <c r="L18" s="15" t="n">
        <f aca="false">Rate!$B$6+C18-I18-J18-K18</f>
        <v>121166.255124652</v>
      </c>
      <c r="M18" s="15" t="n">
        <f aca="false">MAX(0,L18-Rate!$B$22)</f>
        <v>105066.255124652</v>
      </c>
      <c r="N18" s="15" t="n">
        <f aca="false">MAX(0,C18-I18-J18-K18)</f>
        <v>121166.255124652</v>
      </c>
      <c r="O18" s="15" t="n">
        <f aca="false">IF(N18&lt;=0,0,IF(M18&lt;=INDEX('Tax 2026'!$E$13:$E$16,Rate!$B$21),MIN('Tax 2026'!$B$25*N18,'Tax 2026'!$B$25*M18),IF(M18&lt;INDEX('Tax 2026'!$E$13:$E$16,Rate!$B$21)+INDEX('Tax 2026'!$F$13:$F$16,Rate!$B$21),MIN('Tax 2026'!$B$25*N18*(1-(M18-INDEX('Tax 2026'!$E$13:$E$16,Rate!$B$21))/INDEX('Tax 2026'!$F$13:$F$16,Rate!$B$21)),'Tax 2026'!$B$25*M18),0)))</f>
        <v>21013.2510249303</v>
      </c>
      <c r="P18" s="15" t="n">
        <f aca="false">IF(AND(N18&gt;='Tax 2026'!$B$27,O18&lt;'Tax 2026'!$B$26),MIN('Tax 2026'!$B$26,M18),O18)</f>
        <v>21013.2510249303</v>
      </c>
      <c r="Q18" s="15" t="n">
        <f aca="false">MAX(0,M18-P18)</f>
        <v>84053.0040997212</v>
      </c>
      <c r="R18" s="15" t="n">
        <f aca="false">SUMPRODUCT((Q18&gt;INDEX('Tax 2026'!$C$4:$F$10,0,Rate!$B$21))*(Q18-INDEX('Tax 2026'!$C$4:$F$10,0,Rate!$B$21))*'Tax 2026'!$G$4:$G$10)</f>
        <v>13203.6609019387</v>
      </c>
      <c r="S18" s="15" t="n">
        <f aca="false">R18-SUMPRODUCT((MAX(0,Rate!$B$6-Rate!$B$22)&gt;INDEX('Tax 2026'!$C$4:$F$10,0,Rate!$B$21))*(MAX(0,Rate!$B$6-Rate!$B$22)-INDEX('Tax 2026'!$C$4:$F$10,0,Rate!$B$21))*'Tax 2026'!$G$4:$G$10)</f>
        <v>13203.6609019387</v>
      </c>
      <c r="T18" s="15" t="n">
        <f aca="false">C18*Rate!$B$7</f>
        <v>7444.23092130306</v>
      </c>
      <c r="U18" s="15" t="n">
        <f aca="false">S18+H18+T18</f>
        <v>41684.6184260613</v>
      </c>
      <c r="V18" s="15" t="n">
        <f aca="false">B18-Rate!$B$8-U18-Rate!$B$9-Rate!$B$10</f>
        <v>90000</v>
      </c>
      <c r="W18" s="15" t="n">
        <f aca="false">B18+(Rate!$B$4-V18)/(1-0.35)</f>
        <v>157884.618426061</v>
      </c>
    </row>
    <row r="19" customFormat="false" ht="15" hidden="false" customHeight="false" outlineLevel="0" collapsed="false">
      <c r="A19" s="14" t="n">
        <v>13</v>
      </c>
      <c r="B19" s="15" t="n">
        <f aca="false">W18</f>
        <v>157884.618426061</v>
      </c>
      <c r="C19" s="15" t="n">
        <f aca="false">MAX(0,B19-Rate!$B$8)</f>
        <v>148884.618426061</v>
      </c>
      <c r="D19" s="15" t="n">
        <f aca="false">IF(C19*'Tax 2026'!$B$23&gt;='Tax 2026'!$B$24,C19*'Tax 2026'!$B$23,0)</f>
        <v>137494.945116468</v>
      </c>
      <c r="E19" s="15" t="n">
        <f aca="false">MIN(D19,'Tax 2026'!$B$19)*'Tax 2026'!$B$20</f>
        <v>17049.373194442</v>
      </c>
      <c r="F19" s="15" t="n">
        <f aca="false">D19*'Tax 2026'!$B$21</f>
        <v>3987.35340837756</v>
      </c>
      <c r="G19" s="15" t="n">
        <f aca="false">MAX(0,MIN(D19,D19-INDEX('Tax 2026'!$D$13:$D$16,Rate!$B$21)))*'Tax 2026'!$B$22</f>
        <v>0</v>
      </c>
      <c r="H19" s="15" t="n">
        <f aca="false">E19+F19+G19</f>
        <v>21036.7266028195</v>
      </c>
      <c r="I19" s="15" t="n">
        <f aca="false">(E19+F19)/2</f>
        <v>10518.3633014098</v>
      </c>
      <c r="J19" s="15" t="n">
        <f aca="false">MIN(Rate!$B$9,MAX(0,C19-I19))</f>
        <v>7200</v>
      </c>
      <c r="K19" s="15" t="n">
        <f aca="false">MIN(Rate!$B$10,MAX(0,C19-I19-J19))</f>
        <v>10000</v>
      </c>
      <c r="L19" s="15" t="n">
        <f aca="false">Rate!$B$6+C19-I19-J19-K19</f>
        <v>121166.255124652</v>
      </c>
      <c r="M19" s="15" t="n">
        <f aca="false">MAX(0,L19-Rate!$B$22)</f>
        <v>105066.255124652</v>
      </c>
      <c r="N19" s="15" t="n">
        <f aca="false">MAX(0,C19-I19-J19-K19)</f>
        <v>121166.255124652</v>
      </c>
      <c r="O19" s="15" t="n">
        <f aca="false">IF(N19&lt;=0,0,IF(M19&lt;=INDEX('Tax 2026'!$E$13:$E$16,Rate!$B$21),MIN('Tax 2026'!$B$25*N19,'Tax 2026'!$B$25*M19),IF(M19&lt;INDEX('Tax 2026'!$E$13:$E$16,Rate!$B$21)+INDEX('Tax 2026'!$F$13:$F$16,Rate!$B$21),MIN('Tax 2026'!$B$25*N19*(1-(M19-INDEX('Tax 2026'!$E$13:$E$16,Rate!$B$21))/INDEX('Tax 2026'!$F$13:$F$16,Rate!$B$21)),'Tax 2026'!$B$25*M19),0)))</f>
        <v>21013.2510249303</v>
      </c>
      <c r="P19" s="15" t="n">
        <f aca="false">IF(AND(N19&gt;='Tax 2026'!$B$27,O19&lt;'Tax 2026'!$B$26),MIN('Tax 2026'!$B$26,M19),O19)</f>
        <v>21013.2510249303</v>
      </c>
      <c r="Q19" s="15" t="n">
        <f aca="false">MAX(0,M19-P19)</f>
        <v>84053.0040997212</v>
      </c>
      <c r="R19" s="15" t="n">
        <f aca="false">SUMPRODUCT((Q19&gt;INDEX('Tax 2026'!$C$4:$F$10,0,Rate!$B$21))*(Q19-INDEX('Tax 2026'!$C$4:$F$10,0,Rate!$B$21))*'Tax 2026'!$G$4:$G$10)</f>
        <v>13203.6609019387</v>
      </c>
      <c r="S19" s="15" t="n">
        <f aca="false">R19-SUMPRODUCT((MAX(0,Rate!$B$6-Rate!$B$22)&gt;INDEX('Tax 2026'!$C$4:$F$10,0,Rate!$B$21))*(MAX(0,Rate!$B$6-Rate!$B$22)-INDEX('Tax 2026'!$C$4:$F$10,0,Rate!$B$21))*'Tax 2026'!$G$4:$G$10)</f>
        <v>13203.6609019387</v>
      </c>
      <c r="T19" s="15" t="n">
        <f aca="false">C19*Rate!$B$7</f>
        <v>7444.23092130306</v>
      </c>
      <c r="U19" s="15" t="n">
        <f aca="false">S19+H19+T19</f>
        <v>41684.6184260613</v>
      </c>
      <c r="V19" s="15" t="n">
        <f aca="false">B19-Rate!$B$8-U19-Rate!$B$9-Rate!$B$10</f>
        <v>90000</v>
      </c>
      <c r="W19" s="15" t="n">
        <f aca="false">B19+(Rate!$B$4-V19)/(1-0.35)</f>
        <v>157884.618426061</v>
      </c>
    </row>
    <row r="20" customFormat="false" ht="15" hidden="false" customHeight="false" outlineLevel="0" collapsed="false">
      <c r="A20" s="14" t="n">
        <v>14</v>
      </c>
      <c r="B20" s="15" t="n">
        <f aca="false">W19</f>
        <v>157884.618426061</v>
      </c>
      <c r="C20" s="15" t="n">
        <f aca="false">MAX(0,B20-Rate!$B$8)</f>
        <v>148884.618426061</v>
      </c>
      <c r="D20" s="15" t="n">
        <f aca="false">IF(C20*'Tax 2026'!$B$23&gt;='Tax 2026'!$B$24,C20*'Tax 2026'!$B$23,0)</f>
        <v>137494.945116468</v>
      </c>
      <c r="E20" s="15" t="n">
        <f aca="false">MIN(D20,'Tax 2026'!$B$19)*'Tax 2026'!$B$20</f>
        <v>17049.373194442</v>
      </c>
      <c r="F20" s="15" t="n">
        <f aca="false">D20*'Tax 2026'!$B$21</f>
        <v>3987.35340837756</v>
      </c>
      <c r="G20" s="15" t="n">
        <f aca="false">MAX(0,MIN(D20,D20-INDEX('Tax 2026'!$D$13:$D$16,Rate!$B$21)))*'Tax 2026'!$B$22</f>
        <v>0</v>
      </c>
      <c r="H20" s="15" t="n">
        <f aca="false">E20+F20+G20</f>
        <v>21036.7266028195</v>
      </c>
      <c r="I20" s="15" t="n">
        <f aca="false">(E20+F20)/2</f>
        <v>10518.3633014098</v>
      </c>
      <c r="J20" s="15" t="n">
        <f aca="false">MIN(Rate!$B$9,MAX(0,C20-I20))</f>
        <v>7200</v>
      </c>
      <c r="K20" s="15" t="n">
        <f aca="false">MIN(Rate!$B$10,MAX(0,C20-I20-J20))</f>
        <v>10000</v>
      </c>
      <c r="L20" s="15" t="n">
        <f aca="false">Rate!$B$6+C20-I20-J20-K20</f>
        <v>121166.255124652</v>
      </c>
      <c r="M20" s="15" t="n">
        <f aca="false">MAX(0,L20-Rate!$B$22)</f>
        <v>105066.255124652</v>
      </c>
      <c r="N20" s="15" t="n">
        <f aca="false">MAX(0,C20-I20-J20-K20)</f>
        <v>121166.255124652</v>
      </c>
      <c r="O20" s="15" t="n">
        <f aca="false">IF(N20&lt;=0,0,IF(M20&lt;=INDEX('Tax 2026'!$E$13:$E$16,Rate!$B$21),MIN('Tax 2026'!$B$25*N20,'Tax 2026'!$B$25*M20),IF(M20&lt;INDEX('Tax 2026'!$E$13:$E$16,Rate!$B$21)+INDEX('Tax 2026'!$F$13:$F$16,Rate!$B$21),MIN('Tax 2026'!$B$25*N20*(1-(M20-INDEX('Tax 2026'!$E$13:$E$16,Rate!$B$21))/INDEX('Tax 2026'!$F$13:$F$16,Rate!$B$21)),'Tax 2026'!$B$25*M20),0)))</f>
        <v>21013.2510249303</v>
      </c>
      <c r="P20" s="15" t="n">
        <f aca="false">IF(AND(N20&gt;='Tax 2026'!$B$27,O20&lt;'Tax 2026'!$B$26),MIN('Tax 2026'!$B$26,M20),O20)</f>
        <v>21013.2510249303</v>
      </c>
      <c r="Q20" s="15" t="n">
        <f aca="false">MAX(0,M20-P20)</f>
        <v>84053.0040997212</v>
      </c>
      <c r="R20" s="15" t="n">
        <f aca="false">SUMPRODUCT((Q20&gt;INDEX('Tax 2026'!$C$4:$F$10,0,Rate!$B$21))*(Q20-INDEX('Tax 2026'!$C$4:$F$10,0,Rate!$B$21))*'Tax 2026'!$G$4:$G$10)</f>
        <v>13203.6609019387</v>
      </c>
      <c r="S20" s="15" t="n">
        <f aca="false">R20-SUMPRODUCT((MAX(0,Rate!$B$6-Rate!$B$22)&gt;INDEX('Tax 2026'!$C$4:$F$10,0,Rate!$B$21))*(MAX(0,Rate!$B$6-Rate!$B$22)-INDEX('Tax 2026'!$C$4:$F$10,0,Rate!$B$21))*'Tax 2026'!$G$4:$G$10)</f>
        <v>13203.6609019387</v>
      </c>
      <c r="T20" s="15" t="n">
        <f aca="false">C20*Rate!$B$7</f>
        <v>7444.23092130306</v>
      </c>
      <c r="U20" s="15" t="n">
        <f aca="false">S20+H20+T20</f>
        <v>41684.6184260613</v>
      </c>
      <c r="V20" s="15" t="n">
        <f aca="false">B20-Rate!$B$8-U20-Rate!$B$9-Rate!$B$10</f>
        <v>90000</v>
      </c>
      <c r="W20" s="15" t="n">
        <f aca="false">B20+(Rate!$B$4-V20)/(1-0.35)</f>
        <v>157884.618426061</v>
      </c>
    </row>
    <row r="24" customFormat="false" ht="15" hidden="false" customHeight="false" outlineLevel="0" collapsed="false">
      <c r="A24" s="5" t="s">
        <v>103</v>
      </c>
    </row>
    <row r="25" customFormat="false" ht="43.5" hidden="false" customHeight="true" outlineLevel="0" collapsed="false">
      <c r="A25" s="22" t="s">
        <v>81</v>
      </c>
      <c r="B25" s="22" t="s">
        <v>82</v>
      </c>
      <c r="C25" s="22" t="s">
        <v>83</v>
      </c>
      <c r="D25" s="22" t="s">
        <v>84</v>
      </c>
      <c r="E25" s="22" t="s">
        <v>85</v>
      </c>
      <c r="F25" s="22" t="s">
        <v>86</v>
      </c>
      <c r="G25" s="22" t="s">
        <v>87</v>
      </c>
      <c r="H25" s="22" t="s">
        <v>88</v>
      </c>
      <c r="I25" s="22" t="s">
        <v>89</v>
      </c>
      <c r="J25" s="22" t="s">
        <v>90</v>
      </c>
      <c r="K25" s="22" t="s">
        <v>91</v>
      </c>
      <c r="L25" s="22" t="s">
        <v>92</v>
      </c>
      <c r="M25" s="22" t="s">
        <v>93</v>
      </c>
      <c r="N25" s="22" t="s">
        <v>94</v>
      </c>
      <c r="O25" s="22" t="s">
        <v>95</v>
      </c>
      <c r="P25" s="22" t="s">
        <v>96</v>
      </c>
      <c r="Q25" s="22" t="s">
        <v>97</v>
      </c>
      <c r="R25" s="22" t="s">
        <v>98</v>
      </c>
      <c r="S25" s="22" t="s">
        <v>99</v>
      </c>
      <c r="T25" s="22" t="s">
        <v>100</v>
      </c>
      <c r="U25" s="22" t="s">
        <v>101</v>
      </c>
      <c r="V25" s="22" t="s">
        <v>14</v>
      </c>
      <c r="W25" s="22" t="s">
        <v>102</v>
      </c>
    </row>
    <row r="26" customFormat="false" ht="15" hidden="false" customHeight="false" outlineLevel="0" collapsed="false">
      <c r="A26" s="14" t="n">
        <v>0</v>
      </c>
      <c r="B26" s="15" t="n">
        <f aca="false">(Rate!B53+Rate!B8+Rate!B9+Rate!B10)/0.7</f>
        <v>129396.428571429</v>
      </c>
      <c r="C26" s="15" t="n">
        <f aca="false">MAX(0,B26-Rate!$B$8)</f>
        <v>120396.428571429</v>
      </c>
      <c r="D26" s="15" t="n">
        <f aca="false">IF(C26*'Tax 2026'!$B$23&gt;='Tax 2026'!$B$24,C26*'Tax 2026'!$B$23,0)</f>
        <v>111186.101785714</v>
      </c>
      <c r="E26" s="15" t="n">
        <f aca="false">MIN(D26,'Tax 2026'!$B$19)*'Tax 2026'!$B$20</f>
        <v>13787.0766214286</v>
      </c>
      <c r="F26" s="15" t="n">
        <f aca="false">D26*'Tax 2026'!$B$21</f>
        <v>3224.39695178571</v>
      </c>
      <c r="G26" s="15" t="n">
        <f aca="false">MAX(0,MIN(D26,D26-INDEX('Tax 2026'!$D$13:$D$16,Rate!$B$21)))*'Tax 2026'!$B$22</f>
        <v>0</v>
      </c>
      <c r="H26" s="15" t="n">
        <f aca="false">E26+F26+G26</f>
        <v>17011.4735732143</v>
      </c>
      <c r="I26" s="15" t="n">
        <f aca="false">(E26+F26)/2</f>
        <v>8505.73678660714</v>
      </c>
      <c r="J26" s="15" t="n">
        <f aca="false">MIN(Rate!$B$9,MAX(0,C26-I26))</f>
        <v>7200</v>
      </c>
      <c r="K26" s="15" t="n">
        <f aca="false">MIN(Rate!$B$10,MAX(0,C26-I26-J26))</f>
        <v>10000</v>
      </c>
      <c r="L26" s="15" t="n">
        <f aca="false">Rate!$B$6+C26-I26-J26-K26</f>
        <v>94690.6917848214</v>
      </c>
      <c r="M26" s="15" t="n">
        <f aca="false">MAX(0,L26-Rate!$B$22)</f>
        <v>78590.6917848214</v>
      </c>
      <c r="N26" s="15" t="n">
        <f aca="false">MAX(0,C26-I26-J26-K26)</f>
        <v>94690.6917848214</v>
      </c>
      <c r="O26" s="15" t="n">
        <f aca="false">IF(N26&lt;=0,0,IF(M26&lt;=INDEX('Tax 2026'!$E$13:$E$16,Rate!$B$21),MIN('Tax 2026'!$B$25*N26,'Tax 2026'!$B$25*M26),IF(M26&lt;INDEX('Tax 2026'!$E$13:$E$16,Rate!$B$21)+INDEX('Tax 2026'!$F$13:$F$16,Rate!$B$21),MIN('Tax 2026'!$B$25*N26*(1-(M26-INDEX('Tax 2026'!$E$13:$E$16,Rate!$B$21))/INDEX('Tax 2026'!$F$13:$F$16,Rate!$B$21)),'Tax 2026'!$B$25*M26),0)))</f>
        <v>15718.1383569643</v>
      </c>
      <c r="P26" s="15" t="n">
        <f aca="false">IF(AND(N26&gt;='Tax 2026'!$B$27,O26&lt;'Tax 2026'!$B$26),MIN('Tax 2026'!$B$26,M26),O26)</f>
        <v>15718.1383569643</v>
      </c>
      <c r="Q26" s="15" t="n">
        <f aca="false">MAX(0,M26-P26)</f>
        <v>62872.5534278572</v>
      </c>
      <c r="R26" s="15" t="n">
        <f aca="false">SUMPRODUCT((Q26&gt;INDEX('Tax 2026'!$C$4:$F$10,0,Rate!$B$21))*(Q26-INDEX('Tax 2026'!$C$4:$F$10,0,Rate!$B$21))*'Tax 2026'!$G$4:$G$10)</f>
        <v>8543.96175412857</v>
      </c>
      <c r="S26" s="15" t="n">
        <f aca="false">R26-SUMPRODUCT((MAX(0,Rate!$B$6-Rate!$B$22)&gt;INDEX('Tax 2026'!$C$4:$F$10,0,Rate!$B$21))*(MAX(0,Rate!$B$6-Rate!$B$22)-INDEX('Tax 2026'!$C$4:$F$10,0,Rate!$B$21))*'Tax 2026'!$G$4:$G$10)</f>
        <v>8543.96175412857</v>
      </c>
      <c r="T26" s="15" t="n">
        <f aca="false">C26*Rate!$B$7</f>
        <v>6019.82142857143</v>
      </c>
      <c r="U26" s="15" t="n">
        <f aca="false">S26+H26+T26</f>
        <v>31575.2567559143</v>
      </c>
      <c r="V26" s="15" t="n">
        <f aca="false">B26-Rate!$B$8-U26-Rate!$B$9-Rate!$B$10</f>
        <v>71621.1718155143</v>
      </c>
      <c r="W26" s="15" t="n">
        <f aca="false">B26+(Rate!$B$53-V26)/(1-0.35)</f>
        <v>118252.318086022</v>
      </c>
    </row>
    <row r="27" customFormat="false" ht="15" hidden="false" customHeight="false" outlineLevel="0" collapsed="false">
      <c r="A27" s="14" t="n">
        <v>1</v>
      </c>
      <c r="B27" s="15" t="n">
        <f aca="false">W26</f>
        <v>118252.318086022</v>
      </c>
      <c r="C27" s="15" t="n">
        <f aca="false">MAX(0,B27-Rate!$B$8)</f>
        <v>109252.318086022</v>
      </c>
      <c r="D27" s="15" t="n">
        <f aca="false">IF(C27*'Tax 2026'!$B$23&gt;='Tax 2026'!$B$24,C27*'Tax 2026'!$B$23,0)</f>
        <v>100894.515752441</v>
      </c>
      <c r="E27" s="15" t="n">
        <f aca="false">MIN(D27,'Tax 2026'!$B$19)*'Tax 2026'!$B$20</f>
        <v>12510.9199533027</v>
      </c>
      <c r="F27" s="15" t="n">
        <f aca="false">D27*'Tax 2026'!$B$21</f>
        <v>2925.9409568208</v>
      </c>
      <c r="G27" s="15" t="n">
        <f aca="false">MAX(0,MIN(D27,D27-INDEX('Tax 2026'!$D$13:$D$16,Rate!$B$21)))*'Tax 2026'!$B$22</f>
        <v>0</v>
      </c>
      <c r="H27" s="15" t="n">
        <f aca="false">E27+F27+G27</f>
        <v>15436.8609101235</v>
      </c>
      <c r="I27" s="15" t="n">
        <f aca="false">(E27+F27)/2</f>
        <v>7718.43045506176</v>
      </c>
      <c r="J27" s="15" t="n">
        <f aca="false">MIN(Rate!$B$9,MAX(0,C27-I27))</f>
        <v>7200</v>
      </c>
      <c r="K27" s="15" t="n">
        <f aca="false">MIN(Rate!$B$10,MAX(0,C27-I27-J27))</f>
        <v>10000</v>
      </c>
      <c r="L27" s="15" t="n">
        <f aca="false">Rate!$B$6+C27-I27-J27-K27</f>
        <v>84333.8876309602</v>
      </c>
      <c r="M27" s="15" t="n">
        <f aca="false">MAX(0,L27-Rate!$B$22)</f>
        <v>68233.8876309602</v>
      </c>
      <c r="N27" s="15" t="n">
        <f aca="false">MAX(0,C27-I27-J27-K27)</f>
        <v>84333.8876309602</v>
      </c>
      <c r="O27" s="15" t="n">
        <f aca="false">IF(N27&lt;=0,0,IF(M27&lt;=INDEX('Tax 2026'!$E$13:$E$16,Rate!$B$21),MIN('Tax 2026'!$B$25*N27,'Tax 2026'!$B$25*M27),IF(M27&lt;INDEX('Tax 2026'!$E$13:$E$16,Rate!$B$21)+INDEX('Tax 2026'!$F$13:$F$16,Rate!$B$21),MIN('Tax 2026'!$B$25*N27*(1-(M27-INDEX('Tax 2026'!$E$13:$E$16,Rate!$B$21))/INDEX('Tax 2026'!$F$13:$F$16,Rate!$B$21)),'Tax 2026'!$B$25*M27),0)))</f>
        <v>13646.777526192</v>
      </c>
      <c r="P27" s="15" t="n">
        <f aca="false">IF(AND(N27&gt;='Tax 2026'!$B$27,O27&lt;'Tax 2026'!$B$26),MIN('Tax 2026'!$B$26,M27),O27)</f>
        <v>13646.777526192</v>
      </c>
      <c r="Q27" s="15" t="n">
        <f aca="false">MAX(0,M27-P27)</f>
        <v>54587.1101047682</v>
      </c>
      <c r="R27" s="15" t="n">
        <f aca="false">SUMPRODUCT((Q27&gt;INDEX('Tax 2026'!$C$4:$F$10,0,Rate!$B$21))*(Q27-INDEX('Tax 2026'!$C$4:$F$10,0,Rate!$B$21))*'Tax 2026'!$G$4:$G$10)</f>
        <v>6721.164223049</v>
      </c>
      <c r="S27" s="15" t="n">
        <f aca="false">R27-SUMPRODUCT((MAX(0,Rate!$B$6-Rate!$B$22)&gt;INDEX('Tax 2026'!$C$4:$F$10,0,Rate!$B$21))*(MAX(0,Rate!$B$6-Rate!$B$22)-INDEX('Tax 2026'!$C$4:$F$10,0,Rate!$B$21))*'Tax 2026'!$G$4:$G$10)</f>
        <v>6721.164223049</v>
      </c>
      <c r="T27" s="15" t="n">
        <f aca="false">C27*Rate!$B$7</f>
        <v>5462.6159043011</v>
      </c>
      <c r="U27" s="15" t="n">
        <f aca="false">S27+H27+T27</f>
        <v>27620.6410374736</v>
      </c>
      <c r="V27" s="15" t="n">
        <f aca="false">B27-Rate!$B$8-U27-Rate!$B$9-Rate!$B$10</f>
        <v>64431.6770485484</v>
      </c>
      <c r="W27" s="15" t="n">
        <f aca="false">B27+(Rate!$B$53-V27)/(1-0.35)</f>
        <v>118168.968780563</v>
      </c>
    </row>
    <row r="28" customFormat="false" ht="15" hidden="false" customHeight="false" outlineLevel="0" collapsed="false">
      <c r="A28" s="14" t="n">
        <v>2</v>
      </c>
      <c r="B28" s="15" t="n">
        <f aca="false">W27</f>
        <v>118168.968780563</v>
      </c>
      <c r="C28" s="15" t="n">
        <f aca="false">MAX(0,B28-Rate!$B$8)</f>
        <v>109168.968780563</v>
      </c>
      <c r="D28" s="15" t="n">
        <f aca="false">IF(C28*'Tax 2026'!$B$23&gt;='Tax 2026'!$B$24,C28*'Tax 2026'!$B$23,0)</f>
        <v>100817.54266885</v>
      </c>
      <c r="E28" s="15" t="n">
        <f aca="false">MIN(D28,'Tax 2026'!$B$19)*'Tax 2026'!$B$20</f>
        <v>12501.3752909374</v>
      </c>
      <c r="F28" s="15" t="n">
        <f aca="false">D28*'Tax 2026'!$B$21</f>
        <v>2923.70873739665</v>
      </c>
      <c r="G28" s="15" t="n">
        <f aca="false">MAX(0,MIN(D28,D28-INDEX('Tax 2026'!$D$13:$D$16,Rate!$B$21)))*'Tax 2026'!$B$22</f>
        <v>0</v>
      </c>
      <c r="H28" s="15" t="n">
        <f aca="false">E28+F28+G28</f>
        <v>15425.084028334</v>
      </c>
      <c r="I28" s="15" t="n">
        <f aca="false">(E28+F28)/2</f>
        <v>7712.54201416702</v>
      </c>
      <c r="J28" s="15" t="n">
        <f aca="false">MIN(Rate!$B$9,MAX(0,C28-I28))</f>
        <v>7200</v>
      </c>
      <c r="K28" s="15" t="n">
        <f aca="false">MIN(Rate!$B$10,MAX(0,C28-I28-J28))</f>
        <v>10000</v>
      </c>
      <c r="L28" s="15" t="n">
        <f aca="false">Rate!$B$6+C28-I28-J28-K28</f>
        <v>84256.426766396</v>
      </c>
      <c r="M28" s="15" t="n">
        <f aca="false">MAX(0,L28-Rate!$B$22)</f>
        <v>68156.426766396</v>
      </c>
      <c r="N28" s="15" t="n">
        <f aca="false">MAX(0,C28-I28-J28-K28)</f>
        <v>84256.426766396</v>
      </c>
      <c r="O28" s="15" t="n">
        <f aca="false">IF(N28&lt;=0,0,IF(M28&lt;=INDEX('Tax 2026'!$E$13:$E$16,Rate!$B$21),MIN('Tax 2026'!$B$25*N28,'Tax 2026'!$B$25*M28),IF(M28&lt;INDEX('Tax 2026'!$E$13:$E$16,Rate!$B$21)+INDEX('Tax 2026'!$F$13:$F$16,Rate!$B$21),MIN('Tax 2026'!$B$25*N28*(1-(M28-INDEX('Tax 2026'!$E$13:$E$16,Rate!$B$21))/INDEX('Tax 2026'!$F$13:$F$16,Rate!$B$21)),'Tax 2026'!$B$25*M28),0)))</f>
        <v>13631.2853532792</v>
      </c>
      <c r="P28" s="15" t="n">
        <f aca="false">IF(AND(N28&gt;='Tax 2026'!$B$27,O28&lt;'Tax 2026'!$B$26),MIN('Tax 2026'!$B$26,M28),O28)</f>
        <v>13631.2853532792</v>
      </c>
      <c r="Q28" s="15" t="n">
        <f aca="false">MAX(0,M28-P28)</f>
        <v>54525.1414131168</v>
      </c>
      <c r="R28" s="15" t="n">
        <f aca="false">SUMPRODUCT((Q28&gt;INDEX('Tax 2026'!$C$4:$F$10,0,Rate!$B$21))*(Q28-INDEX('Tax 2026'!$C$4:$F$10,0,Rate!$B$21))*'Tax 2026'!$G$4:$G$10)</f>
        <v>6707.53111088569</v>
      </c>
      <c r="S28" s="15" t="n">
        <f aca="false">R28-SUMPRODUCT((MAX(0,Rate!$B$6-Rate!$B$22)&gt;INDEX('Tax 2026'!$C$4:$F$10,0,Rate!$B$21))*(MAX(0,Rate!$B$6-Rate!$B$22)-INDEX('Tax 2026'!$C$4:$F$10,0,Rate!$B$21))*'Tax 2026'!$G$4:$G$10)</f>
        <v>6707.53111088569</v>
      </c>
      <c r="T28" s="15" t="n">
        <f aca="false">C28*Rate!$B$7</f>
        <v>5458.44843902815</v>
      </c>
      <c r="U28" s="15" t="n">
        <f aca="false">S28+H28+T28</f>
        <v>27591.0635782479</v>
      </c>
      <c r="V28" s="15" t="n">
        <f aca="false">B28-Rate!$B$8-U28-Rate!$B$9-Rate!$B$10</f>
        <v>64377.9052023151</v>
      </c>
      <c r="W28" s="15" t="n">
        <f aca="false">B28+(Rate!$B$53-V28)/(1-0.35)</f>
        <v>118168.345392386</v>
      </c>
    </row>
    <row r="29" customFormat="false" ht="15" hidden="false" customHeight="false" outlineLevel="0" collapsed="false">
      <c r="A29" s="14" t="n">
        <v>3</v>
      </c>
      <c r="B29" s="15" t="n">
        <f aca="false">W28</f>
        <v>118168.345392386</v>
      </c>
      <c r="C29" s="15" t="n">
        <f aca="false">MAX(0,B29-Rate!$B$8)</f>
        <v>109168.345392386</v>
      </c>
      <c r="D29" s="15" t="n">
        <f aca="false">IF(C29*'Tax 2026'!$B$23&gt;='Tax 2026'!$B$24,C29*'Tax 2026'!$B$23,0)</f>
        <v>100816.966969868</v>
      </c>
      <c r="E29" s="15" t="n">
        <f aca="false">MIN(D29,'Tax 2026'!$B$19)*'Tax 2026'!$B$20</f>
        <v>12501.3039042637</v>
      </c>
      <c r="F29" s="15" t="n">
        <f aca="false">D29*'Tax 2026'!$B$21</f>
        <v>2923.69204212618</v>
      </c>
      <c r="G29" s="15" t="n">
        <f aca="false">MAX(0,MIN(D29,D29-INDEX('Tax 2026'!$D$13:$D$16,Rate!$B$21)))*'Tax 2026'!$B$22</f>
        <v>0</v>
      </c>
      <c r="H29" s="15" t="n">
        <f aca="false">E29+F29+G29</f>
        <v>15424.9959463899</v>
      </c>
      <c r="I29" s="15" t="n">
        <f aca="false">(E29+F29)/2</f>
        <v>7712.49797319493</v>
      </c>
      <c r="J29" s="15" t="n">
        <f aca="false">MIN(Rate!$B$9,MAX(0,C29-I29))</f>
        <v>7200</v>
      </c>
      <c r="K29" s="15" t="n">
        <f aca="false">MIN(Rate!$B$10,MAX(0,C29-I29-J29))</f>
        <v>10000</v>
      </c>
      <c r="L29" s="15" t="n">
        <f aca="false">Rate!$B$6+C29-I29-J29-K29</f>
        <v>84255.847419191</v>
      </c>
      <c r="M29" s="15" t="n">
        <f aca="false">MAX(0,L29-Rate!$B$22)</f>
        <v>68155.847419191</v>
      </c>
      <c r="N29" s="15" t="n">
        <f aca="false">MAX(0,C29-I29-J29-K29)</f>
        <v>84255.847419191</v>
      </c>
      <c r="O29" s="15" t="n">
        <f aca="false">IF(N29&lt;=0,0,IF(M29&lt;=INDEX('Tax 2026'!$E$13:$E$16,Rate!$B$21),MIN('Tax 2026'!$B$25*N29,'Tax 2026'!$B$25*M29),IF(M29&lt;INDEX('Tax 2026'!$E$13:$E$16,Rate!$B$21)+INDEX('Tax 2026'!$F$13:$F$16,Rate!$B$21),MIN('Tax 2026'!$B$25*N29*(1-(M29-INDEX('Tax 2026'!$E$13:$E$16,Rate!$B$21))/INDEX('Tax 2026'!$F$13:$F$16,Rate!$B$21)),'Tax 2026'!$B$25*M29),0)))</f>
        <v>13631.1694838382</v>
      </c>
      <c r="P29" s="15" t="n">
        <f aca="false">IF(AND(N29&gt;='Tax 2026'!$B$27,O29&lt;'Tax 2026'!$B$26),MIN('Tax 2026'!$B$26,M29),O29)</f>
        <v>13631.1694838382</v>
      </c>
      <c r="Q29" s="15" t="n">
        <f aca="false">MAX(0,M29-P29)</f>
        <v>54524.6779353528</v>
      </c>
      <c r="R29" s="15" t="n">
        <f aca="false">SUMPRODUCT((Q29&gt;INDEX('Tax 2026'!$C$4:$F$10,0,Rate!$B$21))*(Q29-INDEX('Tax 2026'!$C$4:$F$10,0,Rate!$B$21))*'Tax 2026'!$G$4:$G$10)</f>
        <v>6707.42914577761</v>
      </c>
      <c r="S29" s="15" t="n">
        <f aca="false">R29-SUMPRODUCT((MAX(0,Rate!$B$6-Rate!$B$22)&gt;INDEX('Tax 2026'!$C$4:$F$10,0,Rate!$B$21))*(MAX(0,Rate!$B$6-Rate!$B$22)-INDEX('Tax 2026'!$C$4:$F$10,0,Rate!$B$21))*'Tax 2026'!$G$4:$G$10)</f>
        <v>6707.42914577761</v>
      </c>
      <c r="T29" s="15" t="n">
        <f aca="false">C29*Rate!$B$7</f>
        <v>5458.4172696193</v>
      </c>
      <c r="U29" s="15" t="n">
        <f aca="false">S29+H29+T29</f>
        <v>27590.8423617868</v>
      </c>
      <c r="V29" s="15" t="n">
        <f aca="false">B29-Rate!$B$8-U29-Rate!$B$9-Rate!$B$10</f>
        <v>64377.5030305991</v>
      </c>
      <c r="W29" s="15" t="n">
        <f aca="false">B29+(Rate!$B$53-V29)/(1-0.35)</f>
        <v>118168.340729926</v>
      </c>
    </row>
    <row r="30" customFormat="false" ht="15" hidden="false" customHeight="false" outlineLevel="0" collapsed="false">
      <c r="A30" s="14" t="n">
        <v>4</v>
      </c>
      <c r="B30" s="15" t="n">
        <f aca="false">W29</f>
        <v>118168.340729926</v>
      </c>
      <c r="C30" s="15" t="n">
        <f aca="false">MAX(0,B30-Rate!$B$8)</f>
        <v>109168.340729926</v>
      </c>
      <c r="D30" s="15" t="n">
        <f aca="false">IF(C30*'Tax 2026'!$B$23&gt;='Tax 2026'!$B$24,C30*'Tax 2026'!$B$23,0)</f>
        <v>100816.962664086</v>
      </c>
      <c r="E30" s="15" t="n">
        <f aca="false">MIN(D30,'Tax 2026'!$B$19)*'Tax 2026'!$B$20</f>
        <v>12501.3033703467</v>
      </c>
      <c r="F30" s="15" t="n">
        <f aca="false">D30*'Tax 2026'!$B$21</f>
        <v>2923.69191725851</v>
      </c>
      <c r="G30" s="15" t="n">
        <f aca="false">MAX(0,MIN(D30,D30-INDEX('Tax 2026'!$D$13:$D$16,Rate!$B$21)))*'Tax 2026'!$B$22</f>
        <v>0</v>
      </c>
      <c r="H30" s="15" t="n">
        <f aca="false">E30+F30+G30</f>
        <v>15424.9952876052</v>
      </c>
      <c r="I30" s="15" t="n">
        <f aca="false">(E30+F30)/2</f>
        <v>7712.49764380261</v>
      </c>
      <c r="J30" s="15" t="n">
        <f aca="false">MIN(Rate!$B$9,MAX(0,C30-I30))</f>
        <v>7200</v>
      </c>
      <c r="K30" s="15" t="n">
        <f aca="false">MIN(Rate!$B$10,MAX(0,C30-I30-J30))</f>
        <v>10000</v>
      </c>
      <c r="L30" s="15" t="n">
        <f aca="false">Rate!$B$6+C30-I30-J30-K30</f>
        <v>84255.8430861231</v>
      </c>
      <c r="M30" s="15" t="n">
        <f aca="false">MAX(0,L30-Rate!$B$22)</f>
        <v>68155.8430861231</v>
      </c>
      <c r="N30" s="15" t="n">
        <f aca="false">MAX(0,C30-I30-J30-K30)</f>
        <v>84255.8430861231</v>
      </c>
      <c r="O30" s="15" t="n">
        <f aca="false">IF(N30&lt;=0,0,IF(M30&lt;=INDEX('Tax 2026'!$E$13:$E$16,Rate!$B$21),MIN('Tax 2026'!$B$25*N30,'Tax 2026'!$B$25*M30),IF(M30&lt;INDEX('Tax 2026'!$E$13:$E$16,Rate!$B$21)+INDEX('Tax 2026'!$F$13:$F$16,Rate!$B$21),MIN('Tax 2026'!$B$25*N30*(1-(M30-INDEX('Tax 2026'!$E$13:$E$16,Rate!$B$21))/INDEX('Tax 2026'!$F$13:$F$16,Rate!$B$21)),'Tax 2026'!$B$25*M30),0)))</f>
        <v>13631.1686172246</v>
      </c>
      <c r="P30" s="15" t="n">
        <f aca="false">IF(AND(N30&gt;='Tax 2026'!$B$27,O30&lt;'Tax 2026'!$B$26),MIN('Tax 2026'!$B$26,M30),O30)</f>
        <v>13631.1686172246</v>
      </c>
      <c r="Q30" s="15" t="n">
        <f aca="false">MAX(0,M30-P30)</f>
        <v>54524.6744688985</v>
      </c>
      <c r="R30" s="15" t="n">
        <f aca="false">SUMPRODUCT((Q30&gt;INDEX('Tax 2026'!$C$4:$F$10,0,Rate!$B$21))*(Q30-INDEX('Tax 2026'!$C$4:$F$10,0,Rate!$B$21))*'Tax 2026'!$G$4:$G$10)</f>
        <v>6707.42838315766</v>
      </c>
      <c r="S30" s="15" t="n">
        <f aca="false">R30-SUMPRODUCT((MAX(0,Rate!$B$6-Rate!$B$22)&gt;INDEX('Tax 2026'!$C$4:$F$10,0,Rate!$B$21))*(MAX(0,Rate!$B$6-Rate!$B$22)-INDEX('Tax 2026'!$C$4:$F$10,0,Rate!$B$21))*'Tax 2026'!$G$4:$G$10)</f>
        <v>6707.42838315766</v>
      </c>
      <c r="T30" s="15" t="n">
        <f aca="false">C30*Rate!$B$7</f>
        <v>5458.41703649629</v>
      </c>
      <c r="U30" s="15" t="n">
        <f aca="false">S30+H30+T30</f>
        <v>27590.8407072592</v>
      </c>
      <c r="V30" s="15" t="n">
        <f aca="false">B30-Rate!$B$8-U30-Rate!$B$9-Rate!$B$10</f>
        <v>64377.5000226665</v>
      </c>
      <c r="W30" s="15" t="n">
        <f aca="false">B30+(Rate!$B$53-V30)/(1-0.35)</f>
        <v>118168.340695054</v>
      </c>
    </row>
    <row r="31" customFormat="false" ht="15" hidden="false" customHeight="false" outlineLevel="0" collapsed="false">
      <c r="A31" s="14" t="n">
        <v>5</v>
      </c>
      <c r="B31" s="15" t="n">
        <f aca="false">W30</f>
        <v>118168.340695054</v>
      </c>
      <c r="C31" s="15" t="n">
        <f aca="false">MAX(0,B31-Rate!$B$8)</f>
        <v>109168.340695054</v>
      </c>
      <c r="D31" s="15" t="n">
        <f aca="false">IF(C31*'Tax 2026'!$B$23&gt;='Tax 2026'!$B$24,C31*'Tax 2026'!$B$23,0)</f>
        <v>100816.962631882</v>
      </c>
      <c r="E31" s="15" t="n">
        <f aca="false">MIN(D31,'Tax 2026'!$B$19)*'Tax 2026'!$B$20</f>
        <v>12501.3033663534</v>
      </c>
      <c r="F31" s="15" t="n">
        <f aca="false">D31*'Tax 2026'!$B$21</f>
        <v>2923.69191632459</v>
      </c>
      <c r="G31" s="15" t="n">
        <f aca="false">MAX(0,MIN(D31,D31-INDEX('Tax 2026'!$D$13:$D$16,Rate!$B$21)))*'Tax 2026'!$B$22</f>
        <v>0</v>
      </c>
      <c r="H31" s="15" t="n">
        <f aca="false">E31+F31+G31</f>
        <v>15424.995282678</v>
      </c>
      <c r="I31" s="15" t="n">
        <f aca="false">(E31+F31)/2</f>
        <v>7712.49764133901</v>
      </c>
      <c r="J31" s="15" t="n">
        <f aca="false">MIN(Rate!$B$9,MAX(0,C31-I31))</f>
        <v>7200</v>
      </c>
      <c r="K31" s="15" t="n">
        <f aca="false">MIN(Rate!$B$10,MAX(0,C31-I31-J31))</f>
        <v>10000</v>
      </c>
      <c r="L31" s="15" t="n">
        <f aca="false">Rate!$B$6+C31-I31-J31-K31</f>
        <v>84255.8430537151</v>
      </c>
      <c r="M31" s="15" t="n">
        <f aca="false">MAX(0,L31-Rate!$B$22)</f>
        <v>68155.8430537151</v>
      </c>
      <c r="N31" s="15" t="n">
        <f aca="false">MAX(0,C31-I31-J31-K31)</f>
        <v>84255.8430537151</v>
      </c>
      <c r="O31" s="15" t="n">
        <f aca="false">IF(N31&lt;=0,0,IF(M31&lt;=INDEX('Tax 2026'!$E$13:$E$16,Rate!$B$21),MIN('Tax 2026'!$B$25*N31,'Tax 2026'!$B$25*M31),IF(M31&lt;INDEX('Tax 2026'!$E$13:$E$16,Rate!$B$21)+INDEX('Tax 2026'!$F$13:$F$16,Rate!$B$21),MIN('Tax 2026'!$B$25*N31*(1-(M31-INDEX('Tax 2026'!$E$13:$E$16,Rate!$B$21))/INDEX('Tax 2026'!$F$13:$F$16,Rate!$B$21)),'Tax 2026'!$B$25*M31),0)))</f>
        <v>13631.168610743</v>
      </c>
      <c r="P31" s="15" t="n">
        <f aca="false">IF(AND(N31&gt;='Tax 2026'!$B$27,O31&lt;'Tax 2026'!$B$26),MIN('Tax 2026'!$B$26,M31),O31)</f>
        <v>13631.168610743</v>
      </c>
      <c r="Q31" s="15" t="n">
        <f aca="false">MAX(0,M31-P31)</f>
        <v>54524.6744429721</v>
      </c>
      <c r="R31" s="15" t="n">
        <f aca="false">SUMPRODUCT((Q31&gt;INDEX('Tax 2026'!$C$4:$F$10,0,Rate!$B$21))*(Q31-INDEX('Tax 2026'!$C$4:$F$10,0,Rate!$B$21))*'Tax 2026'!$G$4:$G$10)</f>
        <v>6707.42837745386</v>
      </c>
      <c r="S31" s="15" t="n">
        <f aca="false">R31-SUMPRODUCT((MAX(0,Rate!$B$6-Rate!$B$22)&gt;INDEX('Tax 2026'!$C$4:$F$10,0,Rate!$B$21))*(MAX(0,Rate!$B$6-Rate!$B$22)-INDEX('Tax 2026'!$C$4:$F$10,0,Rate!$B$21))*'Tax 2026'!$G$4:$G$10)</f>
        <v>6707.42837745386</v>
      </c>
      <c r="T31" s="15" t="n">
        <f aca="false">C31*Rate!$B$7</f>
        <v>5458.41703475271</v>
      </c>
      <c r="U31" s="15" t="n">
        <f aca="false">S31+H31+T31</f>
        <v>27590.8406948846</v>
      </c>
      <c r="V31" s="15" t="n">
        <f aca="false">B31-Rate!$B$8-U31-Rate!$B$9-Rate!$B$10</f>
        <v>64377.5000001695</v>
      </c>
      <c r="W31" s="15" t="n">
        <f aca="false">B31+(Rate!$B$53-V31)/(1-0.35)</f>
        <v>118168.340694793</v>
      </c>
    </row>
    <row r="32" customFormat="false" ht="15" hidden="false" customHeight="false" outlineLevel="0" collapsed="false">
      <c r="A32" s="14" t="n">
        <v>6</v>
      </c>
      <c r="B32" s="15" t="n">
        <f aca="false">W31</f>
        <v>118168.340694793</v>
      </c>
      <c r="C32" s="15" t="n">
        <f aca="false">MAX(0,B32-Rate!$B$8)</f>
        <v>109168.340694793</v>
      </c>
      <c r="D32" s="15" t="n">
        <f aca="false">IF(C32*'Tax 2026'!$B$23&gt;='Tax 2026'!$B$24,C32*'Tax 2026'!$B$23,0)</f>
        <v>100816.962631642</v>
      </c>
      <c r="E32" s="15" t="n">
        <f aca="false">MIN(D32,'Tax 2026'!$B$19)*'Tax 2026'!$B$20</f>
        <v>12501.3033663236</v>
      </c>
      <c r="F32" s="15" t="n">
        <f aca="false">D32*'Tax 2026'!$B$21</f>
        <v>2923.69191631761</v>
      </c>
      <c r="G32" s="15" t="n">
        <f aca="false">MAX(0,MIN(D32,D32-INDEX('Tax 2026'!$D$13:$D$16,Rate!$B$21)))*'Tax 2026'!$B$22</f>
        <v>0</v>
      </c>
      <c r="H32" s="15" t="n">
        <f aca="false">E32+F32+G32</f>
        <v>15424.9952826412</v>
      </c>
      <c r="I32" s="15" t="n">
        <f aca="false">(E32+F32)/2</f>
        <v>7712.49764132058</v>
      </c>
      <c r="J32" s="15" t="n">
        <f aca="false">MIN(Rate!$B$9,MAX(0,C32-I32))</f>
        <v>7200</v>
      </c>
      <c r="K32" s="15" t="n">
        <f aca="false">MIN(Rate!$B$10,MAX(0,C32-I32-J32))</f>
        <v>10000</v>
      </c>
      <c r="L32" s="15" t="n">
        <f aca="false">Rate!$B$6+C32-I32-J32-K32</f>
        <v>84255.8430534727</v>
      </c>
      <c r="M32" s="15" t="n">
        <f aca="false">MAX(0,L32-Rate!$B$22)</f>
        <v>68155.8430534727</v>
      </c>
      <c r="N32" s="15" t="n">
        <f aca="false">MAX(0,C32-I32-J32-K32)</f>
        <v>84255.8430534727</v>
      </c>
      <c r="O32" s="15" t="n">
        <f aca="false">IF(N32&lt;=0,0,IF(M32&lt;=INDEX('Tax 2026'!$E$13:$E$16,Rate!$B$21),MIN('Tax 2026'!$B$25*N32,'Tax 2026'!$B$25*M32),IF(M32&lt;INDEX('Tax 2026'!$E$13:$E$16,Rate!$B$21)+INDEX('Tax 2026'!$F$13:$F$16,Rate!$B$21),MIN('Tax 2026'!$B$25*N32*(1-(M32-INDEX('Tax 2026'!$E$13:$E$16,Rate!$B$21))/INDEX('Tax 2026'!$F$13:$F$16,Rate!$B$21)),'Tax 2026'!$B$25*M32),0)))</f>
        <v>13631.1686106945</v>
      </c>
      <c r="P32" s="15" t="n">
        <f aca="false">IF(AND(N32&gt;='Tax 2026'!$B$27,O32&lt;'Tax 2026'!$B$26),MIN('Tax 2026'!$B$26,M32),O32)</f>
        <v>13631.1686106945</v>
      </c>
      <c r="Q32" s="15" t="n">
        <f aca="false">MAX(0,M32-P32)</f>
        <v>54524.6744427782</v>
      </c>
      <c r="R32" s="15" t="n">
        <f aca="false">SUMPRODUCT((Q32&gt;INDEX('Tax 2026'!$C$4:$F$10,0,Rate!$B$21))*(Q32-INDEX('Tax 2026'!$C$4:$F$10,0,Rate!$B$21))*'Tax 2026'!$G$4:$G$10)</f>
        <v>6707.4283774112</v>
      </c>
      <c r="S32" s="15" t="n">
        <f aca="false">R32-SUMPRODUCT((MAX(0,Rate!$B$6-Rate!$B$22)&gt;INDEX('Tax 2026'!$C$4:$F$10,0,Rate!$B$21))*(MAX(0,Rate!$B$6-Rate!$B$22)-INDEX('Tax 2026'!$C$4:$F$10,0,Rate!$B$21))*'Tax 2026'!$G$4:$G$10)</f>
        <v>6707.4283774112</v>
      </c>
      <c r="T32" s="15" t="n">
        <f aca="false">C32*Rate!$B$7</f>
        <v>5458.41703473967</v>
      </c>
      <c r="U32" s="15" t="n">
        <f aca="false">S32+H32+T32</f>
        <v>27590.840694792</v>
      </c>
      <c r="V32" s="15" t="n">
        <f aca="false">B32-Rate!$B$8-U32-Rate!$B$9-Rate!$B$10</f>
        <v>64377.5000000013</v>
      </c>
      <c r="W32" s="15" t="n">
        <f aca="false">B32+(Rate!$B$53-V32)/(1-0.35)</f>
        <v>118168.340694791</v>
      </c>
    </row>
    <row r="33" customFormat="false" ht="15" hidden="false" customHeight="false" outlineLevel="0" collapsed="false">
      <c r="A33" s="14" t="n">
        <v>7</v>
      </c>
      <c r="B33" s="15" t="n">
        <f aca="false">W32</f>
        <v>118168.340694791</v>
      </c>
      <c r="C33" s="15" t="n">
        <f aca="false">MAX(0,B33-Rate!$B$8)</f>
        <v>109168.340694791</v>
      </c>
      <c r="D33" s="15" t="n">
        <f aca="false">IF(C33*'Tax 2026'!$B$23&gt;='Tax 2026'!$B$24,C33*'Tax 2026'!$B$23,0)</f>
        <v>100816.96263164</v>
      </c>
      <c r="E33" s="15" t="n">
        <f aca="false">MIN(D33,'Tax 2026'!$B$19)*'Tax 2026'!$B$20</f>
        <v>12501.3033663233</v>
      </c>
      <c r="F33" s="15" t="n">
        <f aca="false">D33*'Tax 2026'!$B$21</f>
        <v>2923.69191631755</v>
      </c>
      <c r="G33" s="15" t="n">
        <f aca="false">MAX(0,MIN(D33,D33-INDEX('Tax 2026'!$D$13:$D$16,Rate!$B$21)))*'Tax 2026'!$B$22</f>
        <v>0</v>
      </c>
      <c r="H33" s="15" t="n">
        <f aca="false">E33+F33+G33</f>
        <v>15424.9952826409</v>
      </c>
      <c r="I33" s="15" t="n">
        <f aca="false">(E33+F33)/2</f>
        <v>7712.49764132045</v>
      </c>
      <c r="J33" s="15" t="n">
        <f aca="false">MIN(Rate!$B$9,MAX(0,C33-I33))</f>
        <v>7200</v>
      </c>
      <c r="K33" s="15" t="n">
        <f aca="false">MIN(Rate!$B$10,MAX(0,C33-I33-J33))</f>
        <v>10000</v>
      </c>
      <c r="L33" s="15" t="n">
        <f aca="false">Rate!$B$6+C33-I33-J33-K33</f>
        <v>84255.8430534709</v>
      </c>
      <c r="M33" s="15" t="n">
        <f aca="false">MAX(0,L33-Rate!$B$22)</f>
        <v>68155.8430534709</v>
      </c>
      <c r="N33" s="15" t="n">
        <f aca="false">MAX(0,C33-I33-J33-K33)</f>
        <v>84255.8430534709</v>
      </c>
      <c r="O33" s="15" t="n">
        <f aca="false">IF(N33&lt;=0,0,IF(M33&lt;=INDEX('Tax 2026'!$E$13:$E$16,Rate!$B$21),MIN('Tax 2026'!$B$25*N33,'Tax 2026'!$B$25*M33),IF(M33&lt;INDEX('Tax 2026'!$E$13:$E$16,Rate!$B$21)+INDEX('Tax 2026'!$F$13:$F$16,Rate!$B$21),MIN('Tax 2026'!$B$25*N33*(1-(M33-INDEX('Tax 2026'!$E$13:$E$16,Rate!$B$21))/INDEX('Tax 2026'!$F$13:$F$16,Rate!$B$21)),'Tax 2026'!$B$25*M33),0)))</f>
        <v>13631.1686106942</v>
      </c>
      <c r="P33" s="15" t="n">
        <f aca="false">IF(AND(N33&gt;='Tax 2026'!$B$27,O33&lt;'Tax 2026'!$B$26),MIN('Tax 2026'!$B$26,M33),O33)</f>
        <v>13631.1686106942</v>
      </c>
      <c r="Q33" s="15" t="n">
        <f aca="false">MAX(0,M33-P33)</f>
        <v>54524.6744427767</v>
      </c>
      <c r="R33" s="15" t="n">
        <f aca="false">SUMPRODUCT((Q33&gt;INDEX('Tax 2026'!$C$4:$F$10,0,Rate!$B$21))*(Q33-INDEX('Tax 2026'!$C$4:$F$10,0,Rate!$B$21))*'Tax 2026'!$G$4:$G$10)</f>
        <v>6707.42837741088</v>
      </c>
      <c r="S33" s="15" t="n">
        <f aca="false">R33-SUMPRODUCT((MAX(0,Rate!$B$6-Rate!$B$22)&gt;INDEX('Tax 2026'!$C$4:$F$10,0,Rate!$B$21))*(MAX(0,Rate!$B$6-Rate!$B$22)-INDEX('Tax 2026'!$C$4:$F$10,0,Rate!$B$21))*'Tax 2026'!$G$4:$G$10)</f>
        <v>6707.42837741088</v>
      </c>
      <c r="T33" s="15" t="n">
        <f aca="false">C33*Rate!$B$7</f>
        <v>5458.41703473957</v>
      </c>
      <c r="U33" s="15" t="n">
        <f aca="false">S33+H33+T33</f>
        <v>27590.8406947913</v>
      </c>
      <c r="V33" s="15" t="n">
        <f aca="false">B33-Rate!$B$8-U33-Rate!$B$9-Rate!$B$10</f>
        <v>64377.5</v>
      </c>
      <c r="W33" s="15" t="n">
        <f aca="false">B33+(Rate!$B$53-V33)/(1-0.35)</f>
        <v>118168.340694791</v>
      </c>
    </row>
    <row r="34" customFormat="false" ht="15" hidden="false" customHeight="false" outlineLevel="0" collapsed="false">
      <c r="A34" s="14" t="n">
        <v>8</v>
      </c>
      <c r="B34" s="15" t="n">
        <f aca="false">W33</f>
        <v>118168.340694791</v>
      </c>
      <c r="C34" s="15" t="n">
        <f aca="false">MAX(0,B34-Rate!$B$8)</f>
        <v>109168.340694791</v>
      </c>
      <c r="D34" s="15" t="n">
        <f aca="false">IF(C34*'Tax 2026'!$B$23&gt;='Tax 2026'!$B$24,C34*'Tax 2026'!$B$23,0)</f>
        <v>100816.96263164</v>
      </c>
      <c r="E34" s="15" t="n">
        <f aca="false">MIN(D34,'Tax 2026'!$B$19)*'Tax 2026'!$B$20</f>
        <v>12501.3033663233</v>
      </c>
      <c r="F34" s="15" t="n">
        <f aca="false">D34*'Tax 2026'!$B$21</f>
        <v>2923.69191631755</v>
      </c>
      <c r="G34" s="15" t="n">
        <f aca="false">MAX(0,MIN(D34,D34-INDEX('Tax 2026'!$D$13:$D$16,Rate!$B$21)))*'Tax 2026'!$B$22</f>
        <v>0</v>
      </c>
      <c r="H34" s="15" t="n">
        <f aca="false">E34+F34+G34</f>
        <v>15424.9952826409</v>
      </c>
      <c r="I34" s="15" t="n">
        <f aca="false">(E34+F34)/2</f>
        <v>7712.49764132045</v>
      </c>
      <c r="J34" s="15" t="n">
        <f aca="false">MIN(Rate!$B$9,MAX(0,C34-I34))</f>
        <v>7200</v>
      </c>
      <c r="K34" s="15" t="n">
        <f aca="false">MIN(Rate!$B$10,MAX(0,C34-I34-J34))</f>
        <v>10000</v>
      </c>
      <c r="L34" s="15" t="n">
        <f aca="false">Rate!$B$6+C34-I34-J34-K34</f>
        <v>84255.8430534709</v>
      </c>
      <c r="M34" s="15" t="n">
        <f aca="false">MAX(0,L34-Rate!$B$22)</f>
        <v>68155.8430534709</v>
      </c>
      <c r="N34" s="15" t="n">
        <f aca="false">MAX(0,C34-I34-J34-K34)</f>
        <v>84255.8430534709</v>
      </c>
      <c r="O34" s="15" t="n">
        <f aca="false">IF(N34&lt;=0,0,IF(M34&lt;=INDEX('Tax 2026'!$E$13:$E$16,Rate!$B$21),MIN('Tax 2026'!$B$25*N34,'Tax 2026'!$B$25*M34),IF(M34&lt;INDEX('Tax 2026'!$E$13:$E$16,Rate!$B$21)+INDEX('Tax 2026'!$F$13:$F$16,Rate!$B$21),MIN('Tax 2026'!$B$25*N34*(1-(M34-INDEX('Tax 2026'!$E$13:$E$16,Rate!$B$21))/INDEX('Tax 2026'!$F$13:$F$16,Rate!$B$21)),'Tax 2026'!$B$25*M34),0)))</f>
        <v>13631.1686106942</v>
      </c>
      <c r="P34" s="15" t="n">
        <f aca="false">IF(AND(N34&gt;='Tax 2026'!$B$27,O34&lt;'Tax 2026'!$B$26),MIN('Tax 2026'!$B$26,M34),O34)</f>
        <v>13631.1686106942</v>
      </c>
      <c r="Q34" s="15" t="n">
        <f aca="false">MAX(0,M34-P34)</f>
        <v>54524.6744427767</v>
      </c>
      <c r="R34" s="15" t="n">
        <f aca="false">SUMPRODUCT((Q34&gt;INDEX('Tax 2026'!$C$4:$F$10,0,Rate!$B$21))*(Q34-INDEX('Tax 2026'!$C$4:$F$10,0,Rate!$B$21))*'Tax 2026'!$G$4:$G$10)</f>
        <v>6707.42837741088</v>
      </c>
      <c r="S34" s="15" t="n">
        <f aca="false">R34-SUMPRODUCT((MAX(0,Rate!$B$6-Rate!$B$22)&gt;INDEX('Tax 2026'!$C$4:$F$10,0,Rate!$B$21))*(MAX(0,Rate!$B$6-Rate!$B$22)-INDEX('Tax 2026'!$C$4:$F$10,0,Rate!$B$21))*'Tax 2026'!$G$4:$G$10)</f>
        <v>6707.42837741088</v>
      </c>
      <c r="T34" s="15" t="n">
        <f aca="false">C34*Rate!$B$7</f>
        <v>5458.41703473957</v>
      </c>
      <c r="U34" s="15" t="n">
        <f aca="false">S34+H34+T34</f>
        <v>27590.8406947913</v>
      </c>
      <c r="V34" s="15" t="n">
        <f aca="false">B34-Rate!$B$8-U34-Rate!$B$9-Rate!$B$10</f>
        <v>64377.5</v>
      </c>
      <c r="W34" s="15" t="n">
        <f aca="false">B34+(Rate!$B$53-V34)/(1-0.35)</f>
        <v>118168.340694791</v>
      </c>
    </row>
    <row r="35" customFormat="false" ht="15" hidden="false" customHeight="false" outlineLevel="0" collapsed="false">
      <c r="A35" s="14" t="n">
        <v>9</v>
      </c>
      <c r="B35" s="15" t="n">
        <f aca="false">W34</f>
        <v>118168.340694791</v>
      </c>
      <c r="C35" s="15" t="n">
        <f aca="false">MAX(0,B35-Rate!$B$8)</f>
        <v>109168.340694791</v>
      </c>
      <c r="D35" s="15" t="n">
        <f aca="false">IF(C35*'Tax 2026'!$B$23&gt;='Tax 2026'!$B$24,C35*'Tax 2026'!$B$23,0)</f>
        <v>100816.96263164</v>
      </c>
      <c r="E35" s="15" t="n">
        <f aca="false">MIN(D35,'Tax 2026'!$B$19)*'Tax 2026'!$B$20</f>
        <v>12501.3033663233</v>
      </c>
      <c r="F35" s="15" t="n">
        <f aca="false">D35*'Tax 2026'!$B$21</f>
        <v>2923.69191631755</v>
      </c>
      <c r="G35" s="15" t="n">
        <f aca="false">MAX(0,MIN(D35,D35-INDEX('Tax 2026'!$D$13:$D$16,Rate!$B$21)))*'Tax 2026'!$B$22</f>
        <v>0</v>
      </c>
      <c r="H35" s="15" t="n">
        <f aca="false">E35+F35+G35</f>
        <v>15424.9952826409</v>
      </c>
      <c r="I35" s="15" t="n">
        <f aca="false">(E35+F35)/2</f>
        <v>7712.49764132045</v>
      </c>
      <c r="J35" s="15" t="n">
        <f aca="false">MIN(Rate!$B$9,MAX(0,C35-I35))</f>
        <v>7200</v>
      </c>
      <c r="K35" s="15" t="n">
        <f aca="false">MIN(Rate!$B$10,MAX(0,C35-I35-J35))</f>
        <v>10000</v>
      </c>
      <c r="L35" s="15" t="n">
        <f aca="false">Rate!$B$6+C35-I35-J35-K35</f>
        <v>84255.8430534709</v>
      </c>
      <c r="M35" s="15" t="n">
        <f aca="false">MAX(0,L35-Rate!$B$22)</f>
        <v>68155.8430534709</v>
      </c>
      <c r="N35" s="15" t="n">
        <f aca="false">MAX(0,C35-I35-J35-K35)</f>
        <v>84255.8430534709</v>
      </c>
      <c r="O35" s="15" t="n">
        <f aca="false">IF(N35&lt;=0,0,IF(M35&lt;=INDEX('Tax 2026'!$E$13:$E$16,Rate!$B$21),MIN('Tax 2026'!$B$25*N35,'Tax 2026'!$B$25*M35),IF(M35&lt;INDEX('Tax 2026'!$E$13:$E$16,Rate!$B$21)+INDEX('Tax 2026'!$F$13:$F$16,Rate!$B$21),MIN('Tax 2026'!$B$25*N35*(1-(M35-INDEX('Tax 2026'!$E$13:$E$16,Rate!$B$21))/INDEX('Tax 2026'!$F$13:$F$16,Rate!$B$21)),'Tax 2026'!$B$25*M35),0)))</f>
        <v>13631.1686106942</v>
      </c>
      <c r="P35" s="15" t="n">
        <f aca="false">IF(AND(N35&gt;='Tax 2026'!$B$27,O35&lt;'Tax 2026'!$B$26),MIN('Tax 2026'!$B$26,M35),O35)</f>
        <v>13631.1686106942</v>
      </c>
      <c r="Q35" s="15" t="n">
        <f aca="false">MAX(0,M35-P35)</f>
        <v>54524.6744427767</v>
      </c>
      <c r="R35" s="15" t="n">
        <f aca="false">SUMPRODUCT((Q35&gt;INDEX('Tax 2026'!$C$4:$F$10,0,Rate!$B$21))*(Q35-INDEX('Tax 2026'!$C$4:$F$10,0,Rate!$B$21))*'Tax 2026'!$G$4:$G$10)</f>
        <v>6707.42837741088</v>
      </c>
      <c r="S35" s="15" t="n">
        <f aca="false">R35-SUMPRODUCT((MAX(0,Rate!$B$6-Rate!$B$22)&gt;INDEX('Tax 2026'!$C$4:$F$10,0,Rate!$B$21))*(MAX(0,Rate!$B$6-Rate!$B$22)-INDEX('Tax 2026'!$C$4:$F$10,0,Rate!$B$21))*'Tax 2026'!$G$4:$G$10)</f>
        <v>6707.42837741088</v>
      </c>
      <c r="T35" s="15" t="n">
        <f aca="false">C35*Rate!$B$7</f>
        <v>5458.41703473957</v>
      </c>
      <c r="U35" s="15" t="n">
        <f aca="false">S35+H35+T35</f>
        <v>27590.8406947913</v>
      </c>
      <c r="V35" s="15" t="n">
        <f aca="false">B35-Rate!$B$8-U35-Rate!$B$9-Rate!$B$10</f>
        <v>64377.5</v>
      </c>
      <c r="W35" s="15" t="n">
        <f aca="false">B35+(Rate!$B$53-V35)/(1-0.35)</f>
        <v>118168.340694791</v>
      </c>
    </row>
    <row r="36" customFormat="false" ht="15" hidden="false" customHeight="false" outlineLevel="0" collapsed="false">
      <c r="A36" s="14" t="n">
        <v>10</v>
      </c>
      <c r="B36" s="15" t="n">
        <f aca="false">W35</f>
        <v>118168.340694791</v>
      </c>
      <c r="C36" s="15" t="n">
        <f aca="false">MAX(0,B36-Rate!$B$8)</f>
        <v>109168.340694791</v>
      </c>
      <c r="D36" s="15" t="n">
        <f aca="false">IF(C36*'Tax 2026'!$B$23&gt;='Tax 2026'!$B$24,C36*'Tax 2026'!$B$23,0)</f>
        <v>100816.96263164</v>
      </c>
      <c r="E36" s="15" t="n">
        <f aca="false">MIN(D36,'Tax 2026'!$B$19)*'Tax 2026'!$B$20</f>
        <v>12501.3033663233</v>
      </c>
      <c r="F36" s="15" t="n">
        <f aca="false">D36*'Tax 2026'!$B$21</f>
        <v>2923.69191631755</v>
      </c>
      <c r="G36" s="15" t="n">
        <f aca="false">MAX(0,MIN(D36,D36-INDEX('Tax 2026'!$D$13:$D$16,Rate!$B$21)))*'Tax 2026'!$B$22</f>
        <v>0</v>
      </c>
      <c r="H36" s="15" t="n">
        <f aca="false">E36+F36+G36</f>
        <v>15424.9952826409</v>
      </c>
      <c r="I36" s="15" t="n">
        <f aca="false">(E36+F36)/2</f>
        <v>7712.49764132045</v>
      </c>
      <c r="J36" s="15" t="n">
        <f aca="false">MIN(Rate!$B$9,MAX(0,C36-I36))</f>
        <v>7200</v>
      </c>
      <c r="K36" s="15" t="n">
        <f aca="false">MIN(Rate!$B$10,MAX(0,C36-I36-J36))</f>
        <v>10000</v>
      </c>
      <c r="L36" s="15" t="n">
        <f aca="false">Rate!$B$6+C36-I36-J36-K36</f>
        <v>84255.8430534709</v>
      </c>
      <c r="M36" s="15" t="n">
        <f aca="false">MAX(0,L36-Rate!$B$22)</f>
        <v>68155.8430534709</v>
      </c>
      <c r="N36" s="15" t="n">
        <f aca="false">MAX(0,C36-I36-J36-K36)</f>
        <v>84255.8430534709</v>
      </c>
      <c r="O36" s="15" t="n">
        <f aca="false">IF(N36&lt;=0,0,IF(M36&lt;=INDEX('Tax 2026'!$E$13:$E$16,Rate!$B$21),MIN('Tax 2026'!$B$25*N36,'Tax 2026'!$B$25*M36),IF(M36&lt;INDEX('Tax 2026'!$E$13:$E$16,Rate!$B$21)+INDEX('Tax 2026'!$F$13:$F$16,Rate!$B$21),MIN('Tax 2026'!$B$25*N36*(1-(M36-INDEX('Tax 2026'!$E$13:$E$16,Rate!$B$21))/INDEX('Tax 2026'!$F$13:$F$16,Rate!$B$21)),'Tax 2026'!$B$25*M36),0)))</f>
        <v>13631.1686106942</v>
      </c>
      <c r="P36" s="15" t="n">
        <f aca="false">IF(AND(N36&gt;='Tax 2026'!$B$27,O36&lt;'Tax 2026'!$B$26),MIN('Tax 2026'!$B$26,M36),O36)</f>
        <v>13631.1686106942</v>
      </c>
      <c r="Q36" s="15" t="n">
        <f aca="false">MAX(0,M36-P36)</f>
        <v>54524.6744427767</v>
      </c>
      <c r="R36" s="15" t="n">
        <f aca="false">SUMPRODUCT((Q36&gt;INDEX('Tax 2026'!$C$4:$F$10,0,Rate!$B$21))*(Q36-INDEX('Tax 2026'!$C$4:$F$10,0,Rate!$B$21))*'Tax 2026'!$G$4:$G$10)</f>
        <v>6707.42837741088</v>
      </c>
      <c r="S36" s="15" t="n">
        <f aca="false">R36-SUMPRODUCT((MAX(0,Rate!$B$6-Rate!$B$22)&gt;INDEX('Tax 2026'!$C$4:$F$10,0,Rate!$B$21))*(MAX(0,Rate!$B$6-Rate!$B$22)-INDEX('Tax 2026'!$C$4:$F$10,0,Rate!$B$21))*'Tax 2026'!$G$4:$G$10)</f>
        <v>6707.42837741088</v>
      </c>
      <c r="T36" s="15" t="n">
        <f aca="false">C36*Rate!$B$7</f>
        <v>5458.41703473957</v>
      </c>
      <c r="U36" s="15" t="n">
        <f aca="false">S36+H36+T36</f>
        <v>27590.8406947913</v>
      </c>
      <c r="V36" s="15" t="n">
        <f aca="false">B36-Rate!$B$8-U36-Rate!$B$9-Rate!$B$10</f>
        <v>64377.5</v>
      </c>
      <c r="W36" s="15" t="n">
        <f aca="false">B36+(Rate!$B$53-V36)/(1-0.35)</f>
        <v>118168.340694791</v>
      </c>
    </row>
    <row r="37" customFormat="false" ht="15" hidden="false" customHeight="false" outlineLevel="0" collapsed="false">
      <c r="A37" s="14" t="n">
        <v>11</v>
      </c>
      <c r="B37" s="15" t="n">
        <f aca="false">W36</f>
        <v>118168.340694791</v>
      </c>
      <c r="C37" s="15" t="n">
        <f aca="false">MAX(0,B37-Rate!$B$8)</f>
        <v>109168.340694791</v>
      </c>
      <c r="D37" s="15" t="n">
        <f aca="false">IF(C37*'Tax 2026'!$B$23&gt;='Tax 2026'!$B$24,C37*'Tax 2026'!$B$23,0)</f>
        <v>100816.96263164</v>
      </c>
      <c r="E37" s="15" t="n">
        <f aca="false">MIN(D37,'Tax 2026'!$B$19)*'Tax 2026'!$B$20</f>
        <v>12501.3033663233</v>
      </c>
      <c r="F37" s="15" t="n">
        <f aca="false">D37*'Tax 2026'!$B$21</f>
        <v>2923.69191631755</v>
      </c>
      <c r="G37" s="15" t="n">
        <f aca="false">MAX(0,MIN(D37,D37-INDEX('Tax 2026'!$D$13:$D$16,Rate!$B$21)))*'Tax 2026'!$B$22</f>
        <v>0</v>
      </c>
      <c r="H37" s="15" t="n">
        <f aca="false">E37+F37+G37</f>
        <v>15424.9952826409</v>
      </c>
      <c r="I37" s="15" t="n">
        <f aca="false">(E37+F37)/2</f>
        <v>7712.49764132045</v>
      </c>
      <c r="J37" s="15" t="n">
        <f aca="false">MIN(Rate!$B$9,MAX(0,C37-I37))</f>
        <v>7200</v>
      </c>
      <c r="K37" s="15" t="n">
        <f aca="false">MIN(Rate!$B$10,MAX(0,C37-I37-J37))</f>
        <v>10000</v>
      </c>
      <c r="L37" s="15" t="n">
        <f aca="false">Rate!$B$6+C37-I37-J37-K37</f>
        <v>84255.8430534709</v>
      </c>
      <c r="M37" s="15" t="n">
        <f aca="false">MAX(0,L37-Rate!$B$22)</f>
        <v>68155.8430534709</v>
      </c>
      <c r="N37" s="15" t="n">
        <f aca="false">MAX(0,C37-I37-J37-K37)</f>
        <v>84255.8430534709</v>
      </c>
      <c r="O37" s="15" t="n">
        <f aca="false">IF(N37&lt;=0,0,IF(M37&lt;=INDEX('Tax 2026'!$E$13:$E$16,Rate!$B$21),MIN('Tax 2026'!$B$25*N37,'Tax 2026'!$B$25*M37),IF(M37&lt;INDEX('Tax 2026'!$E$13:$E$16,Rate!$B$21)+INDEX('Tax 2026'!$F$13:$F$16,Rate!$B$21),MIN('Tax 2026'!$B$25*N37*(1-(M37-INDEX('Tax 2026'!$E$13:$E$16,Rate!$B$21))/INDEX('Tax 2026'!$F$13:$F$16,Rate!$B$21)),'Tax 2026'!$B$25*M37),0)))</f>
        <v>13631.1686106942</v>
      </c>
      <c r="P37" s="15" t="n">
        <f aca="false">IF(AND(N37&gt;='Tax 2026'!$B$27,O37&lt;'Tax 2026'!$B$26),MIN('Tax 2026'!$B$26,M37),O37)</f>
        <v>13631.1686106942</v>
      </c>
      <c r="Q37" s="15" t="n">
        <f aca="false">MAX(0,M37-P37)</f>
        <v>54524.6744427767</v>
      </c>
      <c r="R37" s="15" t="n">
        <f aca="false">SUMPRODUCT((Q37&gt;INDEX('Tax 2026'!$C$4:$F$10,0,Rate!$B$21))*(Q37-INDEX('Tax 2026'!$C$4:$F$10,0,Rate!$B$21))*'Tax 2026'!$G$4:$G$10)</f>
        <v>6707.42837741088</v>
      </c>
      <c r="S37" s="15" t="n">
        <f aca="false">R37-SUMPRODUCT((MAX(0,Rate!$B$6-Rate!$B$22)&gt;INDEX('Tax 2026'!$C$4:$F$10,0,Rate!$B$21))*(MAX(0,Rate!$B$6-Rate!$B$22)-INDEX('Tax 2026'!$C$4:$F$10,0,Rate!$B$21))*'Tax 2026'!$G$4:$G$10)</f>
        <v>6707.42837741088</v>
      </c>
      <c r="T37" s="15" t="n">
        <f aca="false">C37*Rate!$B$7</f>
        <v>5458.41703473957</v>
      </c>
      <c r="U37" s="15" t="n">
        <f aca="false">S37+H37+T37</f>
        <v>27590.8406947913</v>
      </c>
      <c r="V37" s="15" t="n">
        <f aca="false">B37-Rate!$B$8-U37-Rate!$B$9-Rate!$B$10</f>
        <v>64377.5</v>
      </c>
      <c r="W37" s="15" t="n">
        <f aca="false">B37+(Rate!$B$53-V37)/(1-0.35)</f>
        <v>118168.340694791</v>
      </c>
    </row>
    <row r="38" customFormat="false" ht="15" hidden="false" customHeight="false" outlineLevel="0" collapsed="false">
      <c r="A38" s="14" t="n">
        <v>12</v>
      </c>
      <c r="B38" s="15" t="n">
        <f aca="false">W37</f>
        <v>118168.340694791</v>
      </c>
      <c r="C38" s="15" t="n">
        <f aca="false">MAX(0,B38-Rate!$B$8)</f>
        <v>109168.340694791</v>
      </c>
      <c r="D38" s="15" t="n">
        <f aca="false">IF(C38*'Tax 2026'!$B$23&gt;='Tax 2026'!$B$24,C38*'Tax 2026'!$B$23,0)</f>
        <v>100816.96263164</v>
      </c>
      <c r="E38" s="15" t="n">
        <f aca="false">MIN(D38,'Tax 2026'!$B$19)*'Tax 2026'!$B$20</f>
        <v>12501.3033663233</v>
      </c>
      <c r="F38" s="15" t="n">
        <f aca="false">D38*'Tax 2026'!$B$21</f>
        <v>2923.69191631755</v>
      </c>
      <c r="G38" s="15" t="n">
        <f aca="false">MAX(0,MIN(D38,D38-INDEX('Tax 2026'!$D$13:$D$16,Rate!$B$21)))*'Tax 2026'!$B$22</f>
        <v>0</v>
      </c>
      <c r="H38" s="15" t="n">
        <f aca="false">E38+F38+G38</f>
        <v>15424.9952826409</v>
      </c>
      <c r="I38" s="15" t="n">
        <f aca="false">(E38+F38)/2</f>
        <v>7712.49764132045</v>
      </c>
      <c r="J38" s="15" t="n">
        <f aca="false">MIN(Rate!$B$9,MAX(0,C38-I38))</f>
        <v>7200</v>
      </c>
      <c r="K38" s="15" t="n">
        <f aca="false">MIN(Rate!$B$10,MAX(0,C38-I38-J38))</f>
        <v>10000</v>
      </c>
      <c r="L38" s="15" t="n">
        <f aca="false">Rate!$B$6+C38-I38-J38-K38</f>
        <v>84255.8430534709</v>
      </c>
      <c r="M38" s="15" t="n">
        <f aca="false">MAX(0,L38-Rate!$B$22)</f>
        <v>68155.8430534709</v>
      </c>
      <c r="N38" s="15" t="n">
        <f aca="false">MAX(0,C38-I38-J38-K38)</f>
        <v>84255.8430534709</v>
      </c>
      <c r="O38" s="15" t="n">
        <f aca="false">IF(N38&lt;=0,0,IF(M38&lt;=INDEX('Tax 2026'!$E$13:$E$16,Rate!$B$21),MIN('Tax 2026'!$B$25*N38,'Tax 2026'!$B$25*M38),IF(M38&lt;INDEX('Tax 2026'!$E$13:$E$16,Rate!$B$21)+INDEX('Tax 2026'!$F$13:$F$16,Rate!$B$21),MIN('Tax 2026'!$B$25*N38*(1-(M38-INDEX('Tax 2026'!$E$13:$E$16,Rate!$B$21))/INDEX('Tax 2026'!$F$13:$F$16,Rate!$B$21)),'Tax 2026'!$B$25*M38),0)))</f>
        <v>13631.1686106942</v>
      </c>
      <c r="P38" s="15" t="n">
        <f aca="false">IF(AND(N38&gt;='Tax 2026'!$B$27,O38&lt;'Tax 2026'!$B$26),MIN('Tax 2026'!$B$26,M38),O38)</f>
        <v>13631.1686106942</v>
      </c>
      <c r="Q38" s="15" t="n">
        <f aca="false">MAX(0,M38-P38)</f>
        <v>54524.6744427767</v>
      </c>
      <c r="R38" s="15" t="n">
        <f aca="false">SUMPRODUCT((Q38&gt;INDEX('Tax 2026'!$C$4:$F$10,0,Rate!$B$21))*(Q38-INDEX('Tax 2026'!$C$4:$F$10,0,Rate!$B$21))*'Tax 2026'!$G$4:$G$10)</f>
        <v>6707.42837741088</v>
      </c>
      <c r="S38" s="15" t="n">
        <f aca="false">R38-SUMPRODUCT((MAX(0,Rate!$B$6-Rate!$B$22)&gt;INDEX('Tax 2026'!$C$4:$F$10,0,Rate!$B$21))*(MAX(0,Rate!$B$6-Rate!$B$22)-INDEX('Tax 2026'!$C$4:$F$10,0,Rate!$B$21))*'Tax 2026'!$G$4:$G$10)</f>
        <v>6707.42837741088</v>
      </c>
      <c r="T38" s="15" t="n">
        <f aca="false">C38*Rate!$B$7</f>
        <v>5458.41703473957</v>
      </c>
      <c r="U38" s="15" t="n">
        <f aca="false">S38+H38+T38</f>
        <v>27590.8406947913</v>
      </c>
      <c r="V38" s="15" t="n">
        <f aca="false">B38-Rate!$B$8-U38-Rate!$B$9-Rate!$B$10</f>
        <v>64377.5</v>
      </c>
      <c r="W38" s="15" t="n">
        <f aca="false">B38+(Rate!$B$53-V38)/(1-0.35)</f>
        <v>118168.340694791</v>
      </c>
    </row>
    <row r="39" customFormat="false" ht="15" hidden="false" customHeight="false" outlineLevel="0" collapsed="false">
      <c r="A39" s="14" t="n">
        <v>13</v>
      </c>
      <c r="B39" s="15" t="n">
        <f aca="false">W38</f>
        <v>118168.340694791</v>
      </c>
      <c r="C39" s="15" t="n">
        <f aca="false">MAX(0,B39-Rate!$B$8)</f>
        <v>109168.340694791</v>
      </c>
      <c r="D39" s="15" t="n">
        <f aca="false">IF(C39*'Tax 2026'!$B$23&gt;='Tax 2026'!$B$24,C39*'Tax 2026'!$B$23,0)</f>
        <v>100816.96263164</v>
      </c>
      <c r="E39" s="15" t="n">
        <f aca="false">MIN(D39,'Tax 2026'!$B$19)*'Tax 2026'!$B$20</f>
        <v>12501.3033663233</v>
      </c>
      <c r="F39" s="15" t="n">
        <f aca="false">D39*'Tax 2026'!$B$21</f>
        <v>2923.69191631755</v>
      </c>
      <c r="G39" s="15" t="n">
        <f aca="false">MAX(0,MIN(D39,D39-INDEX('Tax 2026'!$D$13:$D$16,Rate!$B$21)))*'Tax 2026'!$B$22</f>
        <v>0</v>
      </c>
      <c r="H39" s="15" t="n">
        <f aca="false">E39+F39+G39</f>
        <v>15424.9952826409</v>
      </c>
      <c r="I39" s="15" t="n">
        <f aca="false">(E39+F39)/2</f>
        <v>7712.49764132045</v>
      </c>
      <c r="J39" s="15" t="n">
        <f aca="false">MIN(Rate!$B$9,MAX(0,C39-I39))</f>
        <v>7200</v>
      </c>
      <c r="K39" s="15" t="n">
        <f aca="false">MIN(Rate!$B$10,MAX(0,C39-I39-J39))</f>
        <v>10000</v>
      </c>
      <c r="L39" s="15" t="n">
        <f aca="false">Rate!$B$6+C39-I39-J39-K39</f>
        <v>84255.8430534709</v>
      </c>
      <c r="M39" s="15" t="n">
        <f aca="false">MAX(0,L39-Rate!$B$22)</f>
        <v>68155.8430534709</v>
      </c>
      <c r="N39" s="15" t="n">
        <f aca="false">MAX(0,C39-I39-J39-K39)</f>
        <v>84255.8430534709</v>
      </c>
      <c r="O39" s="15" t="n">
        <f aca="false">IF(N39&lt;=0,0,IF(M39&lt;=INDEX('Tax 2026'!$E$13:$E$16,Rate!$B$21),MIN('Tax 2026'!$B$25*N39,'Tax 2026'!$B$25*M39),IF(M39&lt;INDEX('Tax 2026'!$E$13:$E$16,Rate!$B$21)+INDEX('Tax 2026'!$F$13:$F$16,Rate!$B$21),MIN('Tax 2026'!$B$25*N39*(1-(M39-INDEX('Tax 2026'!$E$13:$E$16,Rate!$B$21))/INDEX('Tax 2026'!$F$13:$F$16,Rate!$B$21)),'Tax 2026'!$B$25*M39),0)))</f>
        <v>13631.1686106942</v>
      </c>
      <c r="P39" s="15" t="n">
        <f aca="false">IF(AND(N39&gt;='Tax 2026'!$B$27,O39&lt;'Tax 2026'!$B$26),MIN('Tax 2026'!$B$26,M39),O39)</f>
        <v>13631.1686106942</v>
      </c>
      <c r="Q39" s="15" t="n">
        <f aca="false">MAX(0,M39-P39)</f>
        <v>54524.6744427767</v>
      </c>
      <c r="R39" s="15" t="n">
        <f aca="false">SUMPRODUCT((Q39&gt;INDEX('Tax 2026'!$C$4:$F$10,0,Rate!$B$21))*(Q39-INDEX('Tax 2026'!$C$4:$F$10,0,Rate!$B$21))*'Tax 2026'!$G$4:$G$10)</f>
        <v>6707.42837741088</v>
      </c>
      <c r="S39" s="15" t="n">
        <f aca="false">R39-SUMPRODUCT((MAX(0,Rate!$B$6-Rate!$B$22)&gt;INDEX('Tax 2026'!$C$4:$F$10,0,Rate!$B$21))*(MAX(0,Rate!$B$6-Rate!$B$22)-INDEX('Tax 2026'!$C$4:$F$10,0,Rate!$B$21))*'Tax 2026'!$G$4:$G$10)</f>
        <v>6707.42837741088</v>
      </c>
      <c r="T39" s="15" t="n">
        <f aca="false">C39*Rate!$B$7</f>
        <v>5458.41703473957</v>
      </c>
      <c r="U39" s="15" t="n">
        <f aca="false">S39+H39+T39</f>
        <v>27590.8406947913</v>
      </c>
      <c r="V39" s="15" t="n">
        <f aca="false">B39-Rate!$B$8-U39-Rate!$B$9-Rate!$B$10</f>
        <v>64377.5</v>
      </c>
      <c r="W39" s="15" t="n">
        <f aca="false">B39+(Rate!$B$53-V39)/(1-0.35)</f>
        <v>118168.340694791</v>
      </c>
    </row>
    <row r="40" customFormat="false" ht="15" hidden="false" customHeight="false" outlineLevel="0" collapsed="false">
      <c r="A40" s="14" t="n">
        <v>14</v>
      </c>
      <c r="B40" s="15" t="n">
        <f aca="false">W39</f>
        <v>118168.340694791</v>
      </c>
      <c r="C40" s="15" t="n">
        <f aca="false">MAX(0,B40-Rate!$B$8)</f>
        <v>109168.340694791</v>
      </c>
      <c r="D40" s="15" t="n">
        <f aca="false">IF(C40*'Tax 2026'!$B$23&gt;='Tax 2026'!$B$24,C40*'Tax 2026'!$B$23,0)</f>
        <v>100816.96263164</v>
      </c>
      <c r="E40" s="15" t="n">
        <f aca="false">MIN(D40,'Tax 2026'!$B$19)*'Tax 2026'!$B$20</f>
        <v>12501.3033663233</v>
      </c>
      <c r="F40" s="15" t="n">
        <f aca="false">D40*'Tax 2026'!$B$21</f>
        <v>2923.69191631755</v>
      </c>
      <c r="G40" s="15" t="n">
        <f aca="false">MAX(0,MIN(D40,D40-INDEX('Tax 2026'!$D$13:$D$16,Rate!$B$21)))*'Tax 2026'!$B$22</f>
        <v>0</v>
      </c>
      <c r="H40" s="15" t="n">
        <f aca="false">E40+F40+G40</f>
        <v>15424.9952826409</v>
      </c>
      <c r="I40" s="15" t="n">
        <f aca="false">(E40+F40)/2</f>
        <v>7712.49764132045</v>
      </c>
      <c r="J40" s="15" t="n">
        <f aca="false">MIN(Rate!$B$9,MAX(0,C40-I40))</f>
        <v>7200</v>
      </c>
      <c r="K40" s="15" t="n">
        <f aca="false">MIN(Rate!$B$10,MAX(0,C40-I40-J40))</f>
        <v>10000</v>
      </c>
      <c r="L40" s="15" t="n">
        <f aca="false">Rate!$B$6+C40-I40-J40-K40</f>
        <v>84255.8430534709</v>
      </c>
      <c r="M40" s="15" t="n">
        <f aca="false">MAX(0,L40-Rate!$B$22)</f>
        <v>68155.8430534709</v>
      </c>
      <c r="N40" s="15" t="n">
        <f aca="false">MAX(0,C40-I40-J40-K40)</f>
        <v>84255.8430534709</v>
      </c>
      <c r="O40" s="15" t="n">
        <f aca="false">IF(N40&lt;=0,0,IF(M40&lt;=INDEX('Tax 2026'!$E$13:$E$16,Rate!$B$21),MIN('Tax 2026'!$B$25*N40,'Tax 2026'!$B$25*M40),IF(M40&lt;INDEX('Tax 2026'!$E$13:$E$16,Rate!$B$21)+INDEX('Tax 2026'!$F$13:$F$16,Rate!$B$21),MIN('Tax 2026'!$B$25*N40*(1-(M40-INDEX('Tax 2026'!$E$13:$E$16,Rate!$B$21))/INDEX('Tax 2026'!$F$13:$F$16,Rate!$B$21)),'Tax 2026'!$B$25*M40),0)))</f>
        <v>13631.1686106942</v>
      </c>
      <c r="P40" s="15" t="n">
        <f aca="false">IF(AND(N40&gt;='Tax 2026'!$B$27,O40&lt;'Tax 2026'!$B$26),MIN('Tax 2026'!$B$26,M40),O40)</f>
        <v>13631.1686106942</v>
      </c>
      <c r="Q40" s="15" t="n">
        <f aca="false">MAX(0,M40-P40)</f>
        <v>54524.6744427767</v>
      </c>
      <c r="R40" s="15" t="n">
        <f aca="false">SUMPRODUCT((Q40&gt;INDEX('Tax 2026'!$C$4:$F$10,0,Rate!$B$21))*(Q40-INDEX('Tax 2026'!$C$4:$F$10,0,Rate!$B$21))*'Tax 2026'!$G$4:$G$10)</f>
        <v>6707.42837741088</v>
      </c>
      <c r="S40" s="15" t="n">
        <f aca="false">R40-SUMPRODUCT((MAX(0,Rate!$B$6-Rate!$B$22)&gt;INDEX('Tax 2026'!$C$4:$F$10,0,Rate!$B$21))*(MAX(0,Rate!$B$6-Rate!$B$22)-INDEX('Tax 2026'!$C$4:$F$10,0,Rate!$B$21))*'Tax 2026'!$G$4:$G$10)</f>
        <v>6707.42837741088</v>
      </c>
      <c r="T40" s="15" t="n">
        <f aca="false">C40*Rate!$B$7</f>
        <v>5458.41703473957</v>
      </c>
      <c r="U40" s="15" t="n">
        <f aca="false">S40+H40+T40</f>
        <v>27590.8406947913</v>
      </c>
      <c r="V40" s="15" t="n">
        <f aca="false">B40-Rate!$B$8-U40-Rate!$B$9-Rate!$B$10</f>
        <v>64377.5</v>
      </c>
      <c r="W40" s="15" t="n">
        <f aca="false">B40+(Rate!$B$53-V40)/(1-0.35)</f>
        <v>118168.340694791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8" min="2" style="0" width="16"/>
  </cols>
  <sheetData>
    <row r="1" customFormat="false" ht="17.35" hidden="false" customHeight="false" outlineLevel="0" collapsed="false">
      <c r="A1" s="1" t="s">
        <v>104</v>
      </c>
    </row>
    <row r="3" customFormat="false" ht="23.85" hidden="false" customHeight="false" outlineLevel="0" collapsed="false">
      <c r="A3" s="23" t="s">
        <v>105</v>
      </c>
      <c r="B3" s="23" t="s">
        <v>106</v>
      </c>
      <c r="C3" s="23" t="s">
        <v>107</v>
      </c>
      <c r="D3" s="23" t="s">
        <v>108</v>
      </c>
      <c r="E3" s="23" t="s">
        <v>109</v>
      </c>
      <c r="F3" s="23" t="s">
        <v>110</v>
      </c>
      <c r="G3" s="23" t="s">
        <v>111</v>
      </c>
    </row>
    <row r="4" customFormat="false" ht="15" hidden="false" customHeight="false" outlineLevel="0" collapsed="false">
      <c r="A4" s="24" t="n">
        <v>1</v>
      </c>
      <c r="B4" s="25" t="n">
        <v>0.1</v>
      </c>
      <c r="C4" s="15" t="n">
        <v>0</v>
      </c>
      <c r="D4" s="15" t="n">
        <v>0</v>
      </c>
      <c r="E4" s="15" t="n">
        <v>0</v>
      </c>
      <c r="F4" s="15" t="n">
        <v>0</v>
      </c>
      <c r="G4" s="25" t="n">
        <f aca="false">B4-0</f>
        <v>0.1</v>
      </c>
    </row>
    <row r="5" customFormat="false" ht="15" hidden="false" customHeight="false" outlineLevel="0" collapsed="false">
      <c r="A5" s="24" t="n">
        <v>2</v>
      </c>
      <c r="B5" s="25" t="n">
        <v>0.12</v>
      </c>
      <c r="C5" s="15" t="n">
        <v>12400</v>
      </c>
      <c r="D5" s="15" t="n">
        <v>24800</v>
      </c>
      <c r="E5" s="15" t="n">
        <v>17700</v>
      </c>
      <c r="F5" s="15" t="n">
        <v>12400</v>
      </c>
      <c r="G5" s="25" t="n">
        <f aca="false">B5-B4</f>
        <v>0.02</v>
      </c>
    </row>
    <row r="6" customFormat="false" ht="15" hidden="false" customHeight="false" outlineLevel="0" collapsed="false">
      <c r="A6" s="24" t="n">
        <v>3</v>
      </c>
      <c r="B6" s="25" t="n">
        <v>0.22</v>
      </c>
      <c r="C6" s="15" t="n">
        <v>50400</v>
      </c>
      <c r="D6" s="15" t="n">
        <v>100800</v>
      </c>
      <c r="E6" s="15" t="n">
        <v>67450</v>
      </c>
      <c r="F6" s="15" t="n">
        <v>50400</v>
      </c>
      <c r="G6" s="25" t="n">
        <f aca="false">B6-B5</f>
        <v>0.1</v>
      </c>
    </row>
    <row r="7" customFormat="false" ht="15" hidden="false" customHeight="false" outlineLevel="0" collapsed="false">
      <c r="A7" s="24" t="n">
        <v>4</v>
      </c>
      <c r="B7" s="25" t="n">
        <v>0.24</v>
      </c>
      <c r="C7" s="15" t="n">
        <v>105700</v>
      </c>
      <c r="D7" s="15" t="n">
        <v>211400</v>
      </c>
      <c r="E7" s="15" t="n">
        <v>105700</v>
      </c>
      <c r="F7" s="15" t="n">
        <v>105700</v>
      </c>
      <c r="G7" s="25" t="n">
        <f aca="false">B7-B6</f>
        <v>0.02</v>
      </c>
    </row>
    <row r="8" customFormat="false" ht="15" hidden="false" customHeight="false" outlineLevel="0" collapsed="false">
      <c r="A8" s="24" t="n">
        <v>5</v>
      </c>
      <c r="B8" s="25" t="n">
        <v>0.32</v>
      </c>
      <c r="C8" s="15" t="n">
        <v>201775</v>
      </c>
      <c r="D8" s="15" t="n">
        <v>403550</v>
      </c>
      <c r="E8" s="15" t="n">
        <v>201750</v>
      </c>
      <c r="F8" s="15" t="n">
        <v>201775</v>
      </c>
      <c r="G8" s="25" t="n">
        <f aca="false">B8-B7</f>
        <v>0.08</v>
      </c>
    </row>
    <row r="9" customFormat="false" ht="15" hidden="false" customHeight="false" outlineLevel="0" collapsed="false">
      <c r="A9" s="24" t="n">
        <v>6</v>
      </c>
      <c r="B9" s="25" t="n">
        <v>0.35</v>
      </c>
      <c r="C9" s="15" t="n">
        <v>256225</v>
      </c>
      <c r="D9" s="15" t="n">
        <v>512450</v>
      </c>
      <c r="E9" s="15" t="n">
        <v>256200</v>
      </c>
      <c r="F9" s="15" t="n">
        <v>256225</v>
      </c>
      <c r="G9" s="25" t="n">
        <f aca="false">B9-B8</f>
        <v>0.03</v>
      </c>
    </row>
    <row r="10" customFormat="false" ht="15" hidden="false" customHeight="false" outlineLevel="0" collapsed="false">
      <c r="A10" s="24" t="n">
        <v>7</v>
      </c>
      <c r="B10" s="25" t="n">
        <v>0.37</v>
      </c>
      <c r="C10" s="15" t="n">
        <v>640600</v>
      </c>
      <c r="D10" s="15" t="n">
        <v>768700</v>
      </c>
      <c r="E10" s="15" t="n">
        <v>640600</v>
      </c>
      <c r="F10" s="15" t="n">
        <v>384350</v>
      </c>
      <c r="G10" s="25" t="n">
        <f aca="false">B10-B9</f>
        <v>0.02</v>
      </c>
    </row>
    <row r="12" customFormat="false" ht="31.5" hidden="false" customHeight="true" outlineLevel="0" collapsed="false">
      <c r="A12" s="23" t="s">
        <v>27</v>
      </c>
      <c r="B12" s="23" t="s">
        <v>112</v>
      </c>
      <c r="C12" s="23" t="s">
        <v>45</v>
      </c>
      <c r="D12" s="23" t="s">
        <v>113</v>
      </c>
      <c r="E12" s="23" t="s">
        <v>114</v>
      </c>
      <c r="F12" s="23" t="s">
        <v>115</v>
      </c>
    </row>
    <row r="13" customFormat="false" ht="15" hidden="false" customHeight="false" outlineLevel="0" collapsed="false">
      <c r="A13" s="24" t="s">
        <v>28</v>
      </c>
      <c r="B13" s="24" t="n">
        <v>1</v>
      </c>
      <c r="C13" s="15" t="n">
        <v>16100</v>
      </c>
      <c r="D13" s="15" t="n">
        <v>200000</v>
      </c>
      <c r="E13" s="15" t="n">
        <v>201750</v>
      </c>
      <c r="F13" s="15" t="n">
        <v>75000</v>
      </c>
    </row>
    <row r="14" customFormat="false" ht="15" hidden="false" customHeight="false" outlineLevel="0" collapsed="false">
      <c r="A14" s="24" t="s">
        <v>116</v>
      </c>
      <c r="B14" s="24" t="n">
        <v>2</v>
      </c>
      <c r="C14" s="15" t="n">
        <v>32200</v>
      </c>
      <c r="D14" s="15" t="n">
        <v>250000</v>
      </c>
      <c r="E14" s="15" t="n">
        <v>403500</v>
      </c>
      <c r="F14" s="15" t="n">
        <v>150000</v>
      </c>
    </row>
    <row r="15" customFormat="false" ht="15" hidden="false" customHeight="false" outlineLevel="0" collapsed="false">
      <c r="A15" s="24" t="s">
        <v>117</v>
      </c>
      <c r="B15" s="24" t="n">
        <v>3</v>
      </c>
      <c r="C15" s="15" t="n">
        <v>24150</v>
      </c>
      <c r="D15" s="15" t="n">
        <v>200000</v>
      </c>
      <c r="E15" s="15" t="n">
        <v>201750</v>
      </c>
      <c r="F15" s="15" t="n">
        <v>75000</v>
      </c>
    </row>
    <row r="16" customFormat="false" ht="15" hidden="false" customHeight="false" outlineLevel="0" collapsed="false">
      <c r="A16" s="24" t="s">
        <v>118</v>
      </c>
      <c r="B16" s="24" t="n">
        <v>4</v>
      </c>
      <c r="C16" s="15" t="n">
        <v>16100</v>
      </c>
      <c r="D16" s="15" t="n">
        <v>125000</v>
      </c>
      <c r="E16" s="15" t="n">
        <v>201775</v>
      </c>
      <c r="F16" s="15" t="n">
        <v>75000</v>
      </c>
    </row>
    <row r="19" customFormat="false" ht="15" hidden="false" customHeight="false" outlineLevel="0" collapsed="false">
      <c r="A19" s="8" t="s">
        <v>119</v>
      </c>
      <c r="B19" s="9" t="n">
        <v>184500</v>
      </c>
    </row>
    <row r="20" customFormat="false" ht="15" hidden="false" customHeight="false" outlineLevel="0" collapsed="false">
      <c r="A20" s="8" t="s">
        <v>120</v>
      </c>
      <c r="B20" s="11" t="n">
        <v>0.124</v>
      </c>
    </row>
    <row r="21" customFormat="false" ht="15" hidden="false" customHeight="false" outlineLevel="0" collapsed="false">
      <c r="A21" s="8" t="s">
        <v>121</v>
      </c>
      <c r="B21" s="11" t="n">
        <v>0.029</v>
      </c>
    </row>
    <row r="22" customFormat="false" ht="15" hidden="false" customHeight="false" outlineLevel="0" collapsed="false">
      <c r="A22" s="8" t="s">
        <v>122</v>
      </c>
      <c r="B22" s="11" t="n">
        <v>0.009</v>
      </c>
    </row>
    <row r="23" customFormat="false" ht="15" hidden="false" customHeight="false" outlineLevel="0" collapsed="false">
      <c r="A23" s="8" t="s">
        <v>123</v>
      </c>
      <c r="B23" s="26" t="n">
        <v>0.9235</v>
      </c>
    </row>
    <row r="24" customFormat="false" ht="15" hidden="false" customHeight="false" outlineLevel="0" collapsed="false">
      <c r="A24" s="8" t="s">
        <v>124</v>
      </c>
      <c r="B24" s="9" t="n">
        <v>400</v>
      </c>
    </row>
    <row r="25" customFormat="false" ht="15" hidden="false" customHeight="false" outlineLevel="0" collapsed="false">
      <c r="A25" s="8" t="s">
        <v>125</v>
      </c>
      <c r="B25" s="13" t="n">
        <v>0.2</v>
      </c>
    </row>
    <row r="26" customFormat="false" ht="15" hidden="false" customHeight="false" outlineLevel="0" collapsed="false">
      <c r="A26" s="8" t="s">
        <v>126</v>
      </c>
      <c r="B26" s="9" t="n">
        <v>400</v>
      </c>
    </row>
    <row r="27" customFormat="false" ht="15" hidden="false" customHeight="false" outlineLevel="0" collapsed="false">
      <c r="A27" s="8" t="s">
        <v>127</v>
      </c>
      <c r="B27" s="9" t="n">
        <v>1000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2026-09-21T17:05:31Z</dcterms:created>
  <dc:creator>openpyxl</dc:creator>
  <dc:description/>
  <dc:language>en-US</dc:language>
  <cp:lastModifiedBy/>
  <dcterms:modified xsi:type="dcterms:W3CDTF">2026-09-21T17:05:31Z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