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tructions" sheetId="1" state="visible" r:id="rId3"/>
    <sheet name="Sale" sheetId="2" state="visible" r:id="rId4"/>
    <sheet name="Rates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<sst xmlns="http://schemas.openxmlformats.org/spreadsheetml/2006/main" count="104" uniqueCount="99">
  <si>
    <t xml:space="preserve">Depreciation recapture workbook (2026 federal rules)</t>
  </si>
  <si>
    <t xml:space="preserve">Calcority. Gain on the sale of rental or business real estate, split into ordinary recapture, unrecaptured section 1250 gain and long-term gain, with the tax on each layer.</t>
  </si>
  <si>
    <t xml:space="preserve">How to use</t>
  </si>
  <si>
    <t xml:space="preserve">1</t>
  </si>
  <si>
    <t xml:space="preserve">Sale tab: overwrite the example values (a rental bought for $400,000 and sold after 8 years) with your own. Depreciation is calculated straight-line from months held, or enter the amount actually taken.</t>
  </si>
  <si>
    <t xml:space="preserve">2</t>
  </si>
  <si>
    <t xml:space="preserve">If you did a cost segregation study, enter the basis moved to short-life property, the depreciation taken on it (including bonus) and what those components are worth at the sale. That slice is taxed as ordinary income up to the depreciation taken.</t>
  </si>
  <si>
    <t xml:space="preserve">3</t>
  </si>
  <si>
    <t xml:space="preserve">Rates tab: the 2026 ordinary brackets, the 25% cap, the capital gains thresholds and the net investment income tax thresholds. Update them each year.</t>
  </si>
  <si>
    <t xml:space="preserve">Colors</t>
  </si>
  <si>
    <t xml:space="preserve">Blue on yellow = you type. Black = formula. The starting values are illustrations.</t>
  </si>
  <si>
    <t xml:space="preserve">Rules</t>
  </si>
  <si>
    <t xml:space="preserve">Adjusted basis</t>
  </si>
  <si>
    <t xml:space="preserve">Cost + improvements − depreciation allowed or allowable. Depreciation reduces basis whether or not you claimed it.</t>
  </si>
  <si>
    <t xml:space="preserve">Section 1245</t>
  </si>
  <si>
    <t xml:space="preserve">Gain on short-life property up to the depreciation taken is ordinary income.</t>
  </si>
  <si>
    <t xml:space="preserve">Unrecaptured section 1250 gain</t>
  </si>
  <si>
    <t xml:space="preserve">Gain on the building up to the straight-line depreciation taken is taxed at your ordinary rate, but no more than 25%.</t>
  </si>
  <si>
    <t xml:space="preserve">Long-term capital gain</t>
  </si>
  <si>
    <t xml:space="preserve">The rest of the gain is taxed at 0%, 15% or 20%. Stacking: other income, then recapture, then the 25% layer, then the rest.</t>
  </si>
  <si>
    <t xml:space="preserve">Net investment income tax</t>
  </si>
  <si>
    <t xml:space="preserve">3.8% of the lesser of net investment income and MAGI over $200,000 single, $250,000 joint, $125,000 separate.</t>
  </si>
  <si>
    <t xml:space="preserve">Disclaimer</t>
  </si>
  <si>
    <t xml:space="preserve">Planning aid, not tax, legal or accounting advice. Not modeled: installment sales, like-kind exchanges, opportunity zones, AMT, state rules beyond a flat rate.</t>
  </si>
  <si>
    <t xml:space="preserve">Sale of a rental property (example values: overwrite)</t>
  </si>
  <si>
    <t xml:space="preserve">What you paid and how long you held it</t>
  </si>
  <si>
    <t xml:space="preserve">Purchase price</t>
  </si>
  <si>
    <t xml:space="preserve">Closing costs added to basis</t>
  </si>
  <si>
    <t xml:space="preserve">Share of the price that is land</t>
  </si>
  <si>
    <t xml:space="preserve">Capital improvements</t>
  </si>
  <si>
    <t xml:space="preserve">Recovery period (27.5 residential, 39 commercial)</t>
  </si>
  <si>
    <t xml:space="preserve">Months in service until the sale</t>
  </si>
  <si>
    <t xml:space="preserve">Building depreciation taken, if known (0 = calculate)</t>
  </si>
  <si>
    <t xml:space="preserve">Cost segregation (leave at zero if none)</t>
  </si>
  <si>
    <t xml:space="preserve">Basis moved to short-life property</t>
  </si>
  <si>
    <t xml:space="preserve">Depreciation taken on it, including bonus</t>
  </si>
  <si>
    <t xml:space="preserve">What those components are worth at the sale</t>
  </si>
  <si>
    <t xml:space="preserve">The sale</t>
  </si>
  <si>
    <t xml:space="preserve">Sale price</t>
  </si>
  <si>
    <t xml:space="preserve">Selling costs (% of price)</t>
  </si>
  <si>
    <t xml:space="preserve">Loan payoff at closing</t>
  </si>
  <si>
    <t xml:space="preserve">Your tax picture in the sale year</t>
  </si>
  <si>
    <t xml:space="preserve">Filing status</t>
  </si>
  <si>
    <t xml:space="preserve">Single</t>
  </si>
  <si>
    <t xml:space="preserve">Other taxable income, after deductions</t>
  </si>
  <si>
    <t xml:space="preserve">Suspended passive losses released</t>
  </si>
  <si>
    <t xml:space="preserve">Other net investment income</t>
  </si>
  <si>
    <t xml:space="preserve">State income tax rate on the gain</t>
  </si>
  <si>
    <t xml:space="preserve">Apply the net investment income tax? (Yes/No)</t>
  </si>
  <si>
    <t xml:space="preserve">Yes</t>
  </si>
  <si>
    <t xml:space="preserve">Your tax rate when you took the depreciation</t>
  </si>
  <si>
    <t xml:space="preserve">The gain</t>
  </si>
  <si>
    <t xml:space="preserve">Total basis (price + costs + improvements)</t>
  </si>
  <si>
    <t xml:space="preserve">Building basis (depreciable)</t>
  </si>
  <si>
    <t xml:space="preserve">Building depreciation</t>
  </si>
  <si>
    <t xml:space="preserve">Total depreciation</t>
  </si>
  <si>
    <t xml:space="preserve">Amount realized (price less selling costs)</t>
  </si>
  <si>
    <t xml:space="preserve">Gain</t>
  </si>
  <si>
    <t xml:space="preserve">Gain on the short-life components</t>
  </si>
  <si>
    <t xml:space="preserve">Section 1245 recapture (ordinary)</t>
  </si>
  <si>
    <t xml:space="preserve">Gain on the building and land</t>
  </si>
  <si>
    <t xml:space="preserve">Remaining long-term capital gain</t>
  </si>
  <si>
    <t xml:space="preserve">Filing status position</t>
  </si>
  <si>
    <t xml:space="preserve">Ordinary income before the sale</t>
  </si>
  <si>
    <t xml:space="preserve">Tax on the section 1245 recapture</t>
  </si>
  <si>
    <t xml:space="preserve">Stack top after recapture</t>
  </si>
  <si>
    <t xml:space="preserve">Tax on unrecaptured 1250 gain (25% cap)</t>
  </si>
  <si>
    <t xml:space="preserve">Stack top after the 25% layer</t>
  </si>
  <si>
    <t xml:space="preserve">Long-term gain in the 0% band</t>
  </si>
  <si>
    <t xml:space="preserve">Long-term gain in the 15% band</t>
  </si>
  <si>
    <t xml:space="preserve">Long-term gain in the 20% band</t>
  </si>
  <si>
    <t xml:space="preserve">Tax on the long-term gain</t>
  </si>
  <si>
    <t xml:space="preserve">Federal income tax on the sale</t>
  </si>
  <si>
    <t xml:space="preserve">MAGI estimate (income + standard deduction + gain)</t>
  </si>
  <si>
    <t xml:space="preserve">State tax</t>
  </si>
  <si>
    <t xml:space="preserve">Total tax on the sale</t>
  </si>
  <si>
    <t xml:space="preserve">Effective rate on the gain</t>
  </si>
  <si>
    <t xml:space="preserve">Cash after tax and loan payoff</t>
  </si>
  <si>
    <t xml:space="preserve">The depreciation trade</t>
  </si>
  <si>
    <t xml:space="preserve">Tax the depreciation deductions saved you</t>
  </si>
  <si>
    <t xml:space="preserve">Federal tax on the recapture layers</t>
  </si>
  <si>
    <t xml:space="preserve">Difference</t>
  </si>
  <si>
    <t xml:space="preserve">2026 rates (Rev. Proc. 2025-32; NIIT thresholds are set by statute)</t>
  </si>
  <si>
    <t xml:space="preserve">Bracket</t>
  </si>
  <si>
    <t xml:space="preserve">Rate</t>
  </si>
  <si>
    <t xml:space="preserve">Single from</t>
  </si>
  <si>
    <t xml:space="preserve">Joint from</t>
  </si>
  <si>
    <t xml:space="preserve">Head of household from</t>
  </si>
  <si>
    <t xml:space="preserve">Separate from</t>
  </si>
  <si>
    <t xml:space="preserve">Rate step</t>
  </si>
  <si>
    <t xml:space="preserve">Rate step, capped at 25%</t>
  </si>
  <si>
    <t xml:space="preserve">Position</t>
  </si>
  <si>
    <t xml:space="preserve">Capital gains 0% up to</t>
  </si>
  <si>
    <t xml:space="preserve">Capital gains 15% up to</t>
  </si>
  <si>
    <t xml:space="preserve">NIIT threshold</t>
  </si>
  <si>
    <t xml:space="preserve">Standard deduction</t>
  </si>
  <si>
    <t xml:space="preserve">Married filing jointly</t>
  </si>
  <si>
    <t xml:space="preserve">Head of household</t>
  </si>
  <si>
    <t xml:space="preserve">Married filing separately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</si>
</sst>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\$#,##0"/>
    <numFmt numFmtId="166" formatCode="0%"/>
    <numFmt numFmtId="167" formatCode="0.0"/>
    <numFmt numFmtId="168" formatCode="0"/>
    <numFmt numFmtId="169" formatCode="0.0%"/>
    <numFmt numFmtId="170" formatCode="\$#,##0;[RED]&quot;-$&quot;#,##0"/>
    <numFmt numFmtId="171" formatCode="General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3864"/>
      <name val="Arial"/>
      <family val="0"/>
      <charset val="1"/>
    </font>
    <font>
      <i val="true"/>
      <sz val="10"/>
      <color rgb="FF595959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FFFFF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D9E1F2"/>
        <bgColor rgb="FFCCFFFF"/>
      </patternFill>
    </fill>
    <fill>
      <patternFill patternType="solid">
        <fgColor rgb="FFFFF2CC"/>
        <bgColor rgb="FFFFFFFF"/>
      </patternFill>
    </fill>
    <fill>
      <patternFill patternType="solid">
        <fgColor rgb="FF1F3864"/>
        <bgColor rgb="FF33333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4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5"/>
  <sheetViews>
    <sheetView showFormulas="false" showGridLines="true" showRowColHeaders="true" showZeros="true" rightToLeft="false" tabSelected="true" showOutlineSymbols="true" defaultGridColor="true" view="normal" topLeftCell="A1" colorId="64" zoomScale="95" zoomScaleNormal="95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2" min="2" style="0" width="104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.75" hidden="false" customHeight="true" outlineLevel="0" collapsed="false">
      <c r="A4" s="3" t="s">
        <v>2</v>
      </c>
      <c r="B4" s="4"/>
    </row>
    <row r="5" customFormat="false" ht="30" hidden="false" customHeight="true" outlineLevel="0" collapsed="false">
      <c r="A5" s="5" t="s">
        <v>3</v>
      </c>
      <c r="B5" s="6" t="s">
        <v>4</v>
      </c>
    </row>
    <row r="6" customFormat="false" ht="30" hidden="false" customHeight="true" outlineLevel="0" collapsed="false">
      <c r="A6" s="5" t="s">
        <v>5</v>
      </c>
      <c r="B6" s="6" t="s">
        <v>6</v>
      </c>
    </row>
    <row r="7" customFormat="false" ht="30" hidden="false" customHeight="true" outlineLevel="0" collapsed="false">
      <c r="A7" s="5" t="s">
        <v>7</v>
      </c>
      <c r="B7" s="6" t="s">
        <v>8</v>
      </c>
    </row>
    <row r="8" customFormat="false" ht="15.75" hidden="false" customHeight="true" outlineLevel="0" collapsed="false">
      <c r="A8" s="5" t="s">
        <v>9</v>
      </c>
      <c r="B8" s="6" t="s">
        <v>10</v>
      </c>
    </row>
    <row r="9" customFormat="false" ht="15.75" hidden="false" customHeight="true" outlineLevel="0" collapsed="false">
      <c r="A9" s="3" t="s">
        <v>11</v>
      </c>
      <c r="B9" s="4"/>
    </row>
    <row r="10" customFormat="false" ht="30" hidden="false" customHeight="true" outlineLevel="0" collapsed="false">
      <c r="A10" s="5" t="s">
        <v>12</v>
      </c>
      <c r="B10" s="6" t="s">
        <v>13</v>
      </c>
    </row>
    <row r="11" customFormat="false" ht="15.75" hidden="false" customHeight="true" outlineLevel="0" collapsed="false">
      <c r="A11" s="5" t="s">
        <v>14</v>
      </c>
      <c r="B11" s="6" t="s">
        <v>15</v>
      </c>
    </row>
    <row r="12" customFormat="false" ht="30" hidden="false" customHeight="true" outlineLevel="0" collapsed="false">
      <c r="A12" s="5" t="s">
        <v>16</v>
      </c>
      <c r="B12" s="6" t="s">
        <v>17</v>
      </c>
    </row>
    <row r="13" customFormat="false" ht="30" hidden="false" customHeight="true" outlineLevel="0" collapsed="false">
      <c r="A13" s="5" t="s">
        <v>18</v>
      </c>
      <c r="B13" s="6" t="s">
        <v>19</v>
      </c>
    </row>
    <row r="14" customFormat="false" ht="30" hidden="false" customHeight="true" outlineLevel="0" collapsed="false">
      <c r="A14" s="5" t="s">
        <v>20</v>
      </c>
      <c r="B14" s="6" t="s">
        <v>21</v>
      </c>
    </row>
    <row r="15" customFormat="false" ht="30" hidden="false" customHeight="true" outlineLevel="0" collapsed="false">
      <c r="A15" s="5" t="s">
        <v>22</v>
      </c>
      <c r="B15" s="6" t="s">
        <v>23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61"/>
  <sheetViews>
    <sheetView showFormulas="false" showGridLines="true" showRowColHeaders="true" showZeros="true" rightToLeft="false" tabSelected="false" showOutlineSymbols="true" defaultGridColor="true" view="normal" topLeftCell="A1" colorId="64" zoomScale="95" zoomScaleNormal="95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0"/>
    <col collapsed="false" customWidth="true" hidden="false" outlineLevel="0" max="2" min="2" style="0" width="18"/>
    <col collapsed="false" customWidth="true" hidden="false" outlineLevel="0" max="3" min="3" style="0" width="50"/>
  </cols>
  <sheetData>
    <row r="1" customFormat="false" ht="17.35" hidden="false" customHeight="false" outlineLevel="0" collapsed="false">
      <c r="A1" s="1" t="s">
        <v>24</v>
      </c>
    </row>
    <row r="3" customFormat="false" ht="15" hidden="false" customHeight="false" outlineLevel="0" collapsed="false">
      <c r="A3" s="3" t="s">
        <v>25</v>
      </c>
      <c r="B3" s="7"/>
    </row>
    <row r="4" customFormat="false" ht="15" hidden="false" customHeight="false" outlineLevel="0" collapsed="false">
      <c r="A4" s="8" t="s">
        <v>26</v>
      </c>
      <c r="B4" s="9" t="n">
        <v>400000</v>
      </c>
    </row>
    <row r="5" customFormat="false" ht="15" hidden="false" customHeight="false" outlineLevel="0" collapsed="false">
      <c r="A5" s="8" t="s">
        <v>27</v>
      </c>
      <c r="B5" s="9" t="n">
        <v>6000</v>
      </c>
    </row>
    <row r="6" customFormat="false" ht="15" hidden="false" customHeight="false" outlineLevel="0" collapsed="false">
      <c r="A6" s="8" t="s">
        <v>28</v>
      </c>
      <c r="B6" s="10" t="n">
        <v>0.2</v>
      </c>
    </row>
    <row r="7" customFormat="false" ht="15" hidden="false" customHeight="false" outlineLevel="0" collapsed="false">
      <c r="A7" s="8" t="s">
        <v>29</v>
      </c>
      <c r="B7" s="9" t="n">
        <v>0</v>
      </c>
    </row>
    <row r="8" customFormat="false" ht="15" hidden="false" customHeight="false" outlineLevel="0" collapsed="false">
      <c r="A8" s="8" t="s">
        <v>30</v>
      </c>
      <c r="B8" s="11" t="n">
        <v>27.5</v>
      </c>
    </row>
    <row r="9" customFormat="false" ht="15" hidden="false" customHeight="false" outlineLevel="0" collapsed="false">
      <c r="A9" s="8" t="s">
        <v>31</v>
      </c>
      <c r="B9" s="12" t="n">
        <v>96</v>
      </c>
    </row>
    <row r="10" customFormat="false" ht="15" hidden="false" customHeight="false" outlineLevel="0" collapsed="false">
      <c r="A10" s="8" t="s">
        <v>32</v>
      </c>
      <c r="B10" s="9" t="n">
        <v>0</v>
      </c>
    </row>
    <row r="11" customFormat="false" ht="15" hidden="false" customHeight="false" outlineLevel="0" collapsed="false">
      <c r="A11" s="3" t="s">
        <v>33</v>
      </c>
      <c r="B11" s="7"/>
    </row>
    <row r="12" customFormat="false" ht="15" hidden="false" customHeight="false" outlineLevel="0" collapsed="false">
      <c r="A12" s="8" t="s">
        <v>34</v>
      </c>
      <c r="B12" s="9" t="n">
        <v>0</v>
      </c>
    </row>
    <row r="13" customFormat="false" ht="15" hidden="false" customHeight="false" outlineLevel="0" collapsed="false">
      <c r="A13" s="8" t="s">
        <v>35</v>
      </c>
      <c r="B13" s="9" t="n">
        <v>0</v>
      </c>
    </row>
    <row r="14" customFormat="false" ht="15" hidden="false" customHeight="false" outlineLevel="0" collapsed="false">
      <c r="A14" s="8" t="s">
        <v>36</v>
      </c>
      <c r="B14" s="9" t="n">
        <v>0</v>
      </c>
    </row>
    <row r="15" customFormat="false" ht="15" hidden="false" customHeight="false" outlineLevel="0" collapsed="false">
      <c r="A15" s="3" t="s">
        <v>37</v>
      </c>
      <c r="B15" s="7"/>
    </row>
    <row r="16" customFormat="false" ht="15" hidden="false" customHeight="false" outlineLevel="0" collapsed="false">
      <c r="A16" s="8" t="s">
        <v>38</v>
      </c>
      <c r="B16" s="9" t="n">
        <v>650000</v>
      </c>
    </row>
    <row r="17" customFormat="false" ht="15" hidden="false" customHeight="false" outlineLevel="0" collapsed="false">
      <c r="A17" s="8" t="s">
        <v>39</v>
      </c>
      <c r="B17" s="13" t="n">
        <v>0.06</v>
      </c>
    </row>
    <row r="18" customFormat="false" ht="15" hidden="false" customHeight="false" outlineLevel="0" collapsed="false">
      <c r="A18" s="8" t="s">
        <v>40</v>
      </c>
      <c r="B18" s="9" t="n">
        <v>280000</v>
      </c>
    </row>
    <row r="19" customFormat="false" ht="15" hidden="false" customHeight="false" outlineLevel="0" collapsed="false">
      <c r="A19" s="3" t="s">
        <v>41</v>
      </c>
      <c r="B19" s="7"/>
    </row>
    <row r="20" customFormat="false" ht="15" hidden="false" customHeight="false" outlineLevel="0" collapsed="false">
      <c r="A20" s="8" t="s">
        <v>42</v>
      </c>
      <c r="B20" s="14" t="s">
        <v>43</v>
      </c>
    </row>
    <row r="21" customFormat="false" ht="15" hidden="false" customHeight="false" outlineLevel="0" collapsed="false">
      <c r="A21" s="8" t="s">
        <v>44</v>
      </c>
      <c r="B21" s="9" t="n">
        <v>120000</v>
      </c>
    </row>
    <row r="22" customFormat="false" ht="15" hidden="false" customHeight="false" outlineLevel="0" collapsed="false">
      <c r="A22" s="8" t="s">
        <v>45</v>
      </c>
      <c r="B22" s="9" t="n">
        <v>0</v>
      </c>
    </row>
    <row r="23" customFormat="false" ht="15" hidden="false" customHeight="false" outlineLevel="0" collapsed="false">
      <c r="A23" s="8" t="s">
        <v>46</v>
      </c>
      <c r="B23" s="9" t="n">
        <v>0</v>
      </c>
    </row>
    <row r="24" customFormat="false" ht="15" hidden="false" customHeight="false" outlineLevel="0" collapsed="false">
      <c r="A24" s="8" t="s">
        <v>47</v>
      </c>
      <c r="B24" s="13" t="n">
        <v>0.05</v>
      </c>
    </row>
    <row r="25" customFormat="false" ht="15" hidden="false" customHeight="false" outlineLevel="0" collapsed="false">
      <c r="A25" s="8" t="s">
        <v>48</v>
      </c>
      <c r="B25" s="14" t="s">
        <v>49</v>
      </c>
    </row>
    <row r="26" customFormat="false" ht="15" hidden="false" customHeight="false" outlineLevel="0" collapsed="false">
      <c r="A26" s="8" t="s">
        <v>50</v>
      </c>
      <c r="B26" s="10" t="n">
        <v>0.24</v>
      </c>
    </row>
    <row r="28" customFormat="false" ht="15" hidden="false" customHeight="false" outlineLevel="0" collapsed="false">
      <c r="A28" s="3" t="s">
        <v>51</v>
      </c>
      <c r="B28" s="7"/>
    </row>
    <row r="29" customFormat="false" ht="15" hidden="false" customHeight="false" outlineLevel="0" collapsed="false">
      <c r="A29" s="8" t="s">
        <v>52</v>
      </c>
      <c r="B29" s="15" t="n">
        <f aca="false">B4+B5+B7</f>
        <v>406000</v>
      </c>
    </row>
    <row r="30" customFormat="false" ht="15" hidden="false" customHeight="false" outlineLevel="0" collapsed="false">
      <c r="A30" s="8" t="s">
        <v>53</v>
      </c>
      <c r="B30" s="15" t="n">
        <f aca="false">MAX(0,(B4+B5)*(1-B6)+B7-B12)</f>
        <v>324800</v>
      </c>
    </row>
    <row r="31" customFormat="false" ht="15" hidden="false" customHeight="false" outlineLevel="0" collapsed="false">
      <c r="A31" s="8" t="s">
        <v>54</v>
      </c>
      <c r="B31" s="15" t="n">
        <f aca="false">IF(B10&gt;0,B10,B30*MIN(1,B9/(B8*12)))</f>
        <v>94487.2727272727</v>
      </c>
    </row>
    <row r="32" customFormat="false" ht="15" hidden="false" customHeight="false" outlineLevel="0" collapsed="false">
      <c r="A32" s="8" t="s">
        <v>55</v>
      </c>
      <c r="B32" s="15" t="n">
        <f aca="false">B31+B13</f>
        <v>94487.2727272727</v>
      </c>
    </row>
    <row r="33" customFormat="false" ht="15" hidden="false" customHeight="false" outlineLevel="0" collapsed="false">
      <c r="A33" s="8" t="s">
        <v>12</v>
      </c>
      <c r="B33" s="15" t="n">
        <f aca="false">B29-B32</f>
        <v>311512.727272727</v>
      </c>
    </row>
    <row r="34" customFormat="false" ht="15" hidden="false" customHeight="false" outlineLevel="0" collapsed="false">
      <c r="A34" s="8" t="s">
        <v>56</v>
      </c>
      <c r="B34" s="15" t="n">
        <f aca="false">B16*(1-B17)</f>
        <v>611000</v>
      </c>
    </row>
    <row r="35" customFormat="false" ht="15" hidden="false" customHeight="false" outlineLevel="0" collapsed="false">
      <c r="A35" s="5" t="s">
        <v>57</v>
      </c>
      <c r="B35" s="16" t="n">
        <f aca="false">B34-B33</f>
        <v>299487.272727273</v>
      </c>
    </row>
    <row r="36" customFormat="false" ht="15" hidden="false" customHeight="false" outlineLevel="0" collapsed="false">
      <c r="A36" s="8" t="s">
        <v>58</v>
      </c>
      <c r="B36" s="17" t="n">
        <f aca="false">IF(OR(B14&gt;0,B12&gt;0),B14-(B12-B13),0)</f>
        <v>0</v>
      </c>
    </row>
    <row r="37" customFormat="false" ht="15" hidden="false" customHeight="false" outlineLevel="0" collapsed="false">
      <c r="A37" s="8" t="s">
        <v>59</v>
      </c>
      <c r="B37" s="15" t="n">
        <f aca="false">IF(B35&gt;0,MIN(MAX(B36,0),B13,B35),0)</f>
        <v>0</v>
      </c>
    </row>
    <row r="38" customFormat="false" ht="15" hidden="false" customHeight="false" outlineLevel="0" collapsed="false">
      <c r="A38" s="8" t="s">
        <v>60</v>
      </c>
      <c r="B38" s="17" t="n">
        <f aca="false">B35-MAX(B36,0)</f>
        <v>299487.272727273</v>
      </c>
    </row>
    <row r="39" customFormat="false" ht="15" hidden="false" customHeight="false" outlineLevel="0" collapsed="false">
      <c r="A39" s="8" t="s">
        <v>16</v>
      </c>
      <c r="B39" s="15" t="n">
        <f aca="false">IF(B35&gt;0,MIN(MAX(B38,0),B31,B35-B37),0)</f>
        <v>94487.2727272727</v>
      </c>
    </row>
    <row r="40" customFormat="false" ht="15" hidden="false" customHeight="false" outlineLevel="0" collapsed="false">
      <c r="A40" s="8" t="s">
        <v>61</v>
      </c>
      <c r="B40" s="15" t="n">
        <f aca="false">IF(B35&gt;0,MAX(0,B35-B37-B39),0)</f>
        <v>205000</v>
      </c>
    </row>
    <row r="41" customFormat="false" ht="15" hidden="false" customHeight="false" outlineLevel="0" collapsed="false">
      <c r="A41" s="8" t="s">
        <v>62</v>
      </c>
      <c r="B41" s="18" t="n">
        <f aca="false">MATCH(B20,Rates!$A$13:$A$16,0)</f>
        <v>1</v>
      </c>
    </row>
    <row r="42" customFormat="false" ht="15" hidden="false" customHeight="false" outlineLevel="0" collapsed="false">
      <c r="A42" s="8" t="s">
        <v>63</v>
      </c>
      <c r="B42" s="15" t="n">
        <f aca="false">MAX(0,B21-B22)</f>
        <v>120000</v>
      </c>
    </row>
    <row r="43" customFormat="false" ht="15" hidden="false" customHeight="false" outlineLevel="0" collapsed="false">
      <c r="A43" s="8" t="s">
        <v>64</v>
      </c>
      <c r="B43" s="15" t="n">
        <f aca="false">SUMPRODUCT(((B42+B37)&gt;INDEX(Rates!$C$4:$F$10,0,$B$41))*((B42+B37)-INDEX(Rates!$C$4:$F$10,0,$B$41))*Rates!$G$4:$G$10)-SUMPRODUCT((B42&gt;INDEX(Rates!$C$4:$F$10,0,$B$41))*(B42-INDEX(Rates!$C$4:$F$10,0,$B$41))*Rates!$G$4:$G$10)</f>
        <v>0</v>
      </c>
    </row>
    <row r="44" customFormat="false" ht="15" hidden="false" customHeight="false" outlineLevel="0" collapsed="false">
      <c r="A44" s="8" t="s">
        <v>65</v>
      </c>
      <c r="B44" s="15" t="n">
        <f aca="false">B42+B37</f>
        <v>120000</v>
      </c>
    </row>
    <row r="45" customFormat="false" ht="15" hidden="false" customHeight="false" outlineLevel="0" collapsed="false">
      <c r="A45" s="8" t="s">
        <v>66</v>
      </c>
      <c r="B45" s="15" t="n">
        <f aca="false">SUMPRODUCT(((B44+B39)&gt;INDEX(Rates!$C$4:$F$10,0,$B$41))*((B44+B39)-INDEX(Rates!$C$4:$F$10,0,$B$41))*Rates!$H$4:$H$10)-SUMPRODUCT((B44&gt;INDEX(Rates!$C$4:$F$10,0,$B$41))*(B44-INDEX(Rates!$C$4:$F$10,0,$B$41))*Rates!$H$4:$H$10)</f>
        <v>22804.0681818182</v>
      </c>
    </row>
    <row r="46" customFormat="false" ht="15" hidden="false" customHeight="false" outlineLevel="0" collapsed="false">
      <c r="A46" s="8" t="s">
        <v>67</v>
      </c>
      <c r="B46" s="15" t="n">
        <f aca="false">B44+B39</f>
        <v>214487.272727273</v>
      </c>
    </row>
    <row r="47" customFormat="false" ht="15" hidden="false" customHeight="false" outlineLevel="0" collapsed="false">
      <c r="A47" s="8" t="s">
        <v>68</v>
      </c>
      <c r="B47" s="15" t="n">
        <f aca="false">MAX(0,MIN(B40,INDEX(Rates!$C$13:$C$16,B41)-B46))</f>
        <v>0</v>
      </c>
    </row>
    <row r="48" customFormat="false" ht="15" hidden="false" customHeight="false" outlineLevel="0" collapsed="false">
      <c r="A48" s="8" t="s">
        <v>69</v>
      </c>
      <c r="B48" s="15" t="n">
        <f aca="false">MAX(0,MIN(B40-B47,INDEX(Rates!$D$13:$D$16,B41)-MAX(B46,INDEX(Rates!$C$13:$C$16,B41))))</f>
        <v>205000</v>
      </c>
    </row>
    <row r="49" customFormat="false" ht="15" hidden="false" customHeight="false" outlineLevel="0" collapsed="false">
      <c r="A49" s="8" t="s">
        <v>70</v>
      </c>
      <c r="B49" s="15" t="n">
        <f aca="false">MAX(0,B40-B47-B48)</f>
        <v>0</v>
      </c>
    </row>
    <row r="50" customFormat="false" ht="15" hidden="false" customHeight="false" outlineLevel="0" collapsed="false">
      <c r="A50" s="8" t="s">
        <v>71</v>
      </c>
      <c r="B50" s="15" t="n">
        <f aca="false">B48*0.15+B49*0.2</f>
        <v>30750</v>
      </c>
    </row>
    <row r="51" customFormat="false" ht="15" hidden="false" customHeight="false" outlineLevel="0" collapsed="false">
      <c r="A51" s="8" t="s">
        <v>72</v>
      </c>
      <c r="B51" s="15" t="n">
        <f aca="false">B43+B45+B50</f>
        <v>53554.0681818182</v>
      </c>
    </row>
    <row r="52" customFormat="false" ht="15" hidden="false" customHeight="false" outlineLevel="0" collapsed="false">
      <c r="A52" s="8" t="s">
        <v>73</v>
      </c>
      <c r="B52" s="15" t="n">
        <f aca="false">B21+INDEX(Rates!$F$13:$F$16,B41)+B35</f>
        <v>435587.272727273</v>
      </c>
    </row>
    <row r="53" customFormat="false" ht="15" hidden="false" customHeight="false" outlineLevel="0" collapsed="false">
      <c r="A53" s="8" t="s">
        <v>20</v>
      </c>
      <c r="B53" s="15" t="n">
        <f aca="false">IF(AND(B25="Yes",B35&gt;0),0.038*MIN(B35+B23,MAX(0,B52-INDEX(Rates!$E$13:$E$16,B41))),0)</f>
        <v>8952.31636363636</v>
      </c>
    </row>
    <row r="54" customFormat="false" ht="15" hidden="false" customHeight="false" outlineLevel="0" collapsed="false">
      <c r="A54" s="8" t="s">
        <v>74</v>
      </c>
      <c r="B54" s="15" t="n">
        <f aca="false">IF(B35&gt;0,B35*B24,0)</f>
        <v>14974.3636363636</v>
      </c>
    </row>
    <row r="55" customFormat="false" ht="15" hidden="false" customHeight="false" outlineLevel="0" collapsed="false">
      <c r="A55" s="5" t="s">
        <v>75</v>
      </c>
      <c r="B55" s="19" t="n">
        <f aca="false">B51+B53+B54</f>
        <v>77480.7481818182</v>
      </c>
    </row>
    <row r="56" customFormat="false" ht="15" hidden="false" customHeight="false" outlineLevel="0" collapsed="false">
      <c r="A56" s="5" t="s">
        <v>76</v>
      </c>
      <c r="B56" s="20" t="n">
        <f aca="false">IF(B35&gt;0,B55/B35,0)</f>
        <v>0.258711321774184</v>
      </c>
    </row>
    <row r="57" customFormat="false" ht="15" hidden="false" customHeight="false" outlineLevel="0" collapsed="false">
      <c r="A57" s="8" t="s">
        <v>77</v>
      </c>
      <c r="B57" s="15" t="n">
        <f aca="false">B34-B18-B55</f>
        <v>253519.251818182</v>
      </c>
    </row>
    <row r="58" customFormat="false" ht="15" hidden="false" customHeight="false" outlineLevel="0" collapsed="false">
      <c r="A58" s="3" t="s">
        <v>78</v>
      </c>
      <c r="B58" s="7"/>
    </row>
    <row r="59" customFormat="false" ht="15" hidden="false" customHeight="false" outlineLevel="0" collapsed="false">
      <c r="A59" s="8" t="s">
        <v>79</v>
      </c>
      <c r="B59" s="15" t="n">
        <f aca="false">B32*B26</f>
        <v>22676.9454545455</v>
      </c>
    </row>
    <row r="60" customFormat="false" ht="15" hidden="false" customHeight="false" outlineLevel="0" collapsed="false">
      <c r="A60" s="8" t="s">
        <v>80</v>
      </c>
      <c r="B60" s="15" t="n">
        <f aca="false">B43+B45</f>
        <v>22804.0681818182</v>
      </c>
    </row>
    <row r="61" customFormat="false" ht="15" hidden="false" customHeight="false" outlineLevel="0" collapsed="false">
      <c r="A61" s="8" t="s">
        <v>81</v>
      </c>
      <c r="B61" s="17" t="n">
        <f aca="false">B59-B60</f>
        <v>-127.122727272723</v>
      </c>
    </row>
  </sheetData>
  <dataValidations count="3">
    <dataValidation allowBlank="false" errorStyle="stop" operator="between" showDropDown="false" showErrorMessage="false" showInputMessage="false" sqref="B20" type="list">
      <formula1>Rates!$A$13:$A$16</formula1>
      <formula2>0</formula2>
    </dataValidation>
    <dataValidation allowBlank="false" errorStyle="stop" operator="between" showDropDown="false" showErrorMessage="false" showInputMessage="false" sqref="B25" type="list">
      <formula1>"Yes,No"</formula1>
      <formula2>0</formula2>
    </dataValidation>
    <dataValidation allowBlank="false" errorStyle="stop" operator="between" showDropDown="false" showErrorMessage="false" showInputMessage="false" sqref="B8" type="list">
      <formula1>"27.5,39"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"/>
  <sheetViews>
    <sheetView showFormulas="false" showGridLines="true" showRowColHeaders="true" showZeros="true" rightToLeft="false" tabSelected="false" showOutlineSymbols="true" defaultGridColor="true" view="normal" topLeftCell="A1" colorId="64" zoomScale="95" zoomScaleNormal="95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8" min="2" style="0" width="18"/>
  </cols>
  <sheetData>
    <row r="1" customFormat="false" ht="17.35" hidden="false" customHeight="false" outlineLevel="0" collapsed="false">
      <c r="A1" s="1" t="s">
        <v>82</v>
      </c>
    </row>
    <row r="3" customFormat="false" ht="31.5" hidden="false" customHeight="true" outlineLevel="0" collapsed="false">
      <c r="A3" s="21" t="s">
        <v>83</v>
      </c>
      <c r="B3" s="21" t="s">
        <v>84</v>
      </c>
      <c r="C3" s="21" t="s">
        <v>85</v>
      </c>
      <c r="D3" s="21" t="s">
        <v>86</v>
      </c>
      <c r="E3" s="21" t="s">
        <v>87</v>
      </c>
      <c r="F3" s="21" t="s">
        <v>88</v>
      </c>
      <c r="G3" s="21" t="s">
        <v>89</v>
      </c>
      <c r="H3" s="21" t="s">
        <v>90</v>
      </c>
    </row>
    <row r="4" customFormat="false" ht="15" hidden="false" customHeight="false" outlineLevel="0" collapsed="false">
      <c r="A4" s="18" t="n">
        <v>1</v>
      </c>
      <c r="B4" s="22" t="n">
        <v>0.1</v>
      </c>
      <c r="C4" s="15" t="n">
        <v>0</v>
      </c>
      <c r="D4" s="15" t="n">
        <v>0</v>
      </c>
      <c r="E4" s="15" t="n">
        <v>0</v>
      </c>
      <c r="F4" s="15" t="n">
        <v>0</v>
      </c>
      <c r="G4" s="22" t="n">
        <f aca="false">B4-0</f>
        <v>0.1</v>
      </c>
      <c r="H4" s="22" t="n">
        <f aca="false">MIN(B4,0.25)-0</f>
        <v>0.1</v>
      </c>
    </row>
    <row r="5" customFormat="false" ht="15" hidden="false" customHeight="false" outlineLevel="0" collapsed="false">
      <c r="A5" s="18" t="n">
        <v>2</v>
      </c>
      <c r="B5" s="22" t="n">
        <v>0.12</v>
      </c>
      <c r="C5" s="15" t="n">
        <v>12400</v>
      </c>
      <c r="D5" s="15" t="n">
        <v>24800</v>
      </c>
      <c r="E5" s="15" t="n">
        <v>17700</v>
      </c>
      <c r="F5" s="15" t="n">
        <v>12400</v>
      </c>
      <c r="G5" s="22" t="n">
        <f aca="false">B5-B4</f>
        <v>0.02</v>
      </c>
      <c r="H5" s="22" t="n">
        <f aca="false">MIN(B5,0.25)-MIN(B4,0.25)</f>
        <v>0.02</v>
      </c>
    </row>
    <row r="6" customFormat="false" ht="15" hidden="false" customHeight="false" outlineLevel="0" collapsed="false">
      <c r="A6" s="18" t="n">
        <v>3</v>
      </c>
      <c r="B6" s="22" t="n">
        <v>0.22</v>
      </c>
      <c r="C6" s="15" t="n">
        <v>50400</v>
      </c>
      <c r="D6" s="15" t="n">
        <v>100800</v>
      </c>
      <c r="E6" s="15" t="n">
        <v>67450</v>
      </c>
      <c r="F6" s="15" t="n">
        <v>50400</v>
      </c>
      <c r="G6" s="22" t="n">
        <f aca="false">B6-B5</f>
        <v>0.1</v>
      </c>
      <c r="H6" s="22" t="n">
        <f aca="false">MIN(B6,0.25)-MIN(B5,0.25)</f>
        <v>0.1</v>
      </c>
    </row>
    <row r="7" customFormat="false" ht="15" hidden="false" customHeight="false" outlineLevel="0" collapsed="false">
      <c r="A7" s="18" t="n">
        <v>4</v>
      </c>
      <c r="B7" s="22" t="n">
        <v>0.24</v>
      </c>
      <c r="C7" s="15" t="n">
        <v>105700</v>
      </c>
      <c r="D7" s="15" t="n">
        <v>211400</v>
      </c>
      <c r="E7" s="15" t="n">
        <v>105700</v>
      </c>
      <c r="F7" s="15" t="n">
        <v>105700</v>
      </c>
      <c r="G7" s="22" t="n">
        <f aca="false">B7-B6</f>
        <v>0.02</v>
      </c>
      <c r="H7" s="22" t="n">
        <f aca="false">MIN(B7,0.25)-MIN(B6,0.25)</f>
        <v>0.02</v>
      </c>
    </row>
    <row r="8" customFormat="false" ht="15" hidden="false" customHeight="false" outlineLevel="0" collapsed="false">
      <c r="A8" s="18" t="n">
        <v>5</v>
      </c>
      <c r="B8" s="22" t="n">
        <v>0.32</v>
      </c>
      <c r="C8" s="15" t="n">
        <v>201775</v>
      </c>
      <c r="D8" s="15" t="n">
        <v>403550</v>
      </c>
      <c r="E8" s="15" t="n">
        <v>201750</v>
      </c>
      <c r="F8" s="15" t="n">
        <v>201775</v>
      </c>
      <c r="G8" s="22" t="n">
        <f aca="false">B8-B7</f>
        <v>0.08</v>
      </c>
      <c r="H8" s="22" t="n">
        <f aca="false">MIN(B8,0.25)-MIN(B7,0.25)</f>
        <v>0.01</v>
      </c>
    </row>
    <row r="9" customFormat="false" ht="15" hidden="false" customHeight="false" outlineLevel="0" collapsed="false">
      <c r="A9" s="18" t="n">
        <v>6</v>
      </c>
      <c r="B9" s="22" t="n">
        <v>0.35</v>
      </c>
      <c r="C9" s="15" t="n">
        <v>256225</v>
      </c>
      <c r="D9" s="15" t="n">
        <v>512450</v>
      </c>
      <c r="E9" s="15" t="n">
        <v>256200</v>
      </c>
      <c r="F9" s="15" t="n">
        <v>256225</v>
      </c>
      <c r="G9" s="22" t="n">
        <f aca="false">B9-B8</f>
        <v>0.03</v>
      </c>
      <c r="H9" s="22" t="n">
        <f aca="false">MIN(B9,0.25)-MIN(B8,0.25)</f>
        <v>0</v>
      </c>
    </row>
    <row r="10" customFormat="false" ht="15" hidden="false" customHeight="false" outlineLevel="0" collapsed="false">
      <c r="A10" s="18" t="n">
        <v>7</v>
      </c>
      <c r="B10" s="22" t="n">
        <v>0.37</v>
      </c>
      <c r="C10" s="15" t="n">
        <v>640600</v>
      </c>
      <c r="D10" s="15" t="n">
        <v>768700</v>
      </c>
      <c r="E10" s="15" t="n">
        <v>640600</v>
      </c>
      <c r="F10" s="15" t="n">
        <v>384350</v>
      </c>
      <c r="G10" s="22" t="n">
        <f aca="false">B10-B9</f>
        <v>0.02</v>
      </c>
      <c r="H10" s="22" t="n">
        <f aca="false">MIN(B10,0.25)-MIN(B9,0.25)</f>
        <v>0</v>
      </c>
    </row>
    <row r="12" customFormat="false" ht="31.5" hidden="false" customHeight="true" outlineLevel="0" collapsed="false">
      <c r="A12" s="21" t="s">
        <v>42</v>
      </c>
      <c r="B12" s="21" t="s">
        <v>91</v>
      </c>
      <c r="C12" s="21" t="s">
        <v>92</v>
      </c>
      <c r="D12" s="21" t="s">
        <v>93</v>
      </c>
      <c r="E12" s="21" t="s">
        <v>94</v>
      </c>
      <c r="F12" s="21" t="s">
        <v>95</v>
      </c>
    </row>
    <row r="13" customFormat="false" ht="15" hidden="false" customHeight="false" outlineLevel="0" collapsed="false">
      <c r="A13" s="18" t="s">
        <v>43</v>
      </c>
      <c r="B13" s="18" t="n">
        <v>1</v>
      </c>
      <c r="C13" s="15" t="n">
        <v>49450</v>
      </c>
      <c r="D13" s="15" t="n">
        <v>545500</v>
      </c>
      <c r="E13" s="15" t="n">
        <v>200000</v>
      </c>
      <c r="F13" s="15" t="n">
        <v>16100</v>
      </c>
    </row>
    <row r="14" customFormat="false" ht="15" hidden="false" customHeight="false" outlineLevel="0" collapsed="false">
      <c r="A14" s="18" t="s">
        <v>96</v>
      </c>
      <c r="B14" s="18" t="n">
        <v>2</v>
      </c>
      <c r="C14" s="15" t="n">
        <v>98900</v>
      </c>
      <c r="D14" s="15" t="n">
        <v>613700</v>
      </c>
      <c r="E14" s="15" t="n">
        <v>250000</v>
      </c>
      <c r="F14" s="15" t="n">
        <v>32200</v>
      </c>
    </row>
    <row r="15" customFormat="false" ht="15" hidden="false" customHeight="false" outlineLevel="0" collapsed="false">
      <c r="A15" s="18" t="s">
        <v>97</v>
      </c>
      <c r="B15" s="18" t="n">
        <v>3</v>
      </c>
      <c r="C15" s="15" t="n">
        <v>66200</v>
      </c>
      <c r="D15" s="15" t="n">
        <v>579600</v>
      </c>
      <c r="E15" s="15" t="n">
        <v>200000</v>
      </c>
      <c r="F15" s="15" t="n">
        <v>24150</v>
      </c>
    </row>
    <row r="16" customFormat="false" ht="15" hidden="false" customHeight="false" outlineLevel="0" collapsed="false">
      <c r="A16" s="18" t="s">
        <v>98</v>
      </c>
      <c r="B16" s="18" t="n">
        <v>4</v>
      </c>
      <c r="C16" s="15" t="n">
        <v>49450</v>
      </c>
      <c r="D16" s="15" t="n">
        <v>306850</v>
      </c>
      <c r="E16" s="15" t="n">
        <v>125000</v>
      </c>
      <c r="F16" s="15" t="n">
        <v>16100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2026-09-20T22:21:18Z</dcterms:created>
  <dc:creator>openpyxl</dc:creator>
  <dc:description/>
  <dc:language>en-US</dc:language>
  <cp:lastModifiedBy/>
  <dcterms:modified xsi:type="dcterms:W3CDTF">2026-09-20T22:21:18Z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