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Cash on cash" sheetId="2" state="visible" r:id="rId4"/>
    <sheet name="Projection" sheetId="3" state="visible" r:id="rId5"/>
    <sheet name="Leverage" sheetId="4" state="visible" r:id="rId6"/>
    <sheet name="Exit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<sst xmlns="http://schemas.openxmlformats.org/spreadsheetml/2006/main" count="95" uniqueCount="84">
  <si>
    <t xml:space="preserve">Cash on cash return workbook</t>
  </si>
  <si>
    <t xml:space="preserve">Calcority. Total cash invested, year-one and year-by-year returns, a leverage sweep, and the exit result with IRR.</t>
  </si>
  <si>
    <t xml:space="preserve">How to use</t>
  </si>
  <si>
    <t xml:space="preserve">1</t>
  </si>
  <si>
    <t xml:space="preserve">Cash on cash tab: overwrite the example values (a $400,000 rental) with your own. It shows total cash invested, year-one net operating income, debt service, cash flow and cash-on-cash, plus the return as advertised and with the down payment only.</t>
  </si>
  <si>
    <t xml:space="preserve">2</t>
  </si>
  <si>
    <t xml:space="preserve">Projection tab: years 1 to 15 with rent and cost growth, the loan balance, principal paid and the total return on cash invested. Leverage tab: the same year-one deal at different down payments. Exit tab: sale in the hold year, equity multiple and IRR.</t>
  </si>
  <si>
    <t xml:space="preserve">Colors</t>
  </si>
  <si>
    <t xml:space="preserve">Blue on yellow = you type. Black = formula. The starting values are illustrations, not benchmarks.</t>
  </si>
  <si>
    <t xml:space="preserve">Definitions</t>
  </si>
  <si>
    <t xml:space="preserve">Cash-on-cash</t>
  </si>
  <si>
    <t xml:space="preserve">Annual pre-tax cash flow ÷ total cash invested.</t>
  </si>
  <si>
    <t xml:space="preserve">Total cash invested</t>
  </si>
  <si>
    <t xml:space="preserve">Down payment + points + closing costs + rehab + reserves − cash returned at a refinance.</t>
  </si>
  <si>
    <t xml:space="preserve">Cash flow</t>
  </si>
  <si>
    <t xml:space="preserve">Net operating income − debt service. Net operating income uses vacancy and percentage reserves on collected rent, plus fixed costs.</t>
  </si>
  <si>
    <t xml:space="preserve">Maximum price</t>
  </si>
  <si>
    <t xml:space="preserve">Solved directly: (NOI − target × upfront costs) ÷ ((1 − down %) × yearly payment per loan dollar + target × cash per price dollar).</t>
  </si>
  <si>
    <t xml:space="preserve">Disclaimer</t>
  </si>
  <si>
    <t xml:space="preserve">Pre-tax planning aid, not investment, tax or legal advice. Depreciation and income tax are not modeled.</t>
  </si>
  <si>
    <t xml:space="preserve">Cash on cash return (example values: overwrite)</t>
  </si>
  <si>
    <t xml:space="preserve">The purchase and the loan</t>
  </si>
  <si>
    <t xml:space="preserve">Purchase price</t>
  </si>
  <si>
    <t xml:space="preserve">Down payment %</t>
  </si>
  <si>
    <t xml:space="preserve">Interest rate</t>
  </si>
  <si>
    <t xml:space="preserve">Loan term (years)</t>
  </si>
  <si>
    <t xml:space="preserve">Loan points (% of the loan)</t>
  </si>
  <si>
    <t xml:space="preserve">Closing costs (% of price)</t>
  </si>
  <si>
    <t xml:space="preserve">Rehab before renting</t>
  </si>
  <si>
    <t xml:space="preserve">Reserves at closing</t>
  </si>
  <si>
    <t xml:space="preserve">Cash returned at a refinance</t>
  </si>
  <si>
    <t xml:space="preserve">Income and costs</t>
  </si>
  <si>
    <t xml:space="preserve">Monthly rent</t>
  </si>
  <si>
    <t xml:space="preserve">Other income per month</t>
  </si>
  <si>
    <t xml:space="preserve">Vacancy and credit loss</t>
  </si>
  <si>
    <t xml:space="preserve">Property tax per year</t>
  </si>
  <si>
    <t xml:space="preserve">Insurance per year</t>
  </si>
  <si>
    <t xml:space="preserve">Maintenance (% of rent collected)</t>
  </si>
  <si>
    <t xml:space="preserve">Management (% of rent collected)</t>
  </si>
  <si>
    <t xml:space="preserve">Capital reserve (% of rent collected)</t>
  </si>
  <si>
    <t xml:space="preserve">Other fixed costs per year</t>
  </si>
  <si>
    <t xml:space="preserve">The years ahead</t>
  </si>
  <si>
    <t xml:space="preserve">Rent growth per year</t>
  </si>
  <si>
    <t xml:space="preserve">Fixed cost growth per year</t>
  </si>
  <si>
    <t xml:space="preserve">Appreciation per year</t>
  </si>
  <si>
    <t xml:space="preserve">Years you hold it (1 to 15)</t>
  </si>
  <si>
    <t xml:space="preserve">Selling costs (% of sale price)</t>
  </si>
  <si>
    <t xml:space="preserve">Target cash-on-cash return</t>
  </si>
  <si>
    <t xml:space="preserve">Year one</t>
  </si>
  <si>
    <t xml:space="preserve">Loan</t>
  </si>
  <si>
    <t xml:space="preserve">Down payment</t>
  </si>
  <si>
    <t xml:space="preserve">Loan points</t>
  </si>
  <si>
    <t xml:space="preserve">Closing costs</t>
  </si>
  <si>
    <t xml:space="preserve">Monthly payment</t>
  </si>
  <si>
    <t xml:space="preserve">Debt service per year</t>
  </si>
  <si>
    <t xml:space="preserve">Mortgage constant</t>
  </si>
  <si>
    <t xml:space="preserve">Effective gross income</t>
  </si>
  <si>
    <t xml:space="preserve">Net operating income</t>
  </si>
  <si>
    <t xml:space="preserve">Cap rate</t>
  </si>
  <si>
    <t xml:space="preserve">Cash flow after debt service</t>
  </si>
  <si>
    <t xml:space="preserve">Cash-on-cash return, year 1</t>
  </si>
  <si>
    <t xml:space="preserve">As advertised (no vacancy or reserves)</t>
  </si>
  <si>
    <t xml:space="preserve">Down payment only in the denominator</t>
  </si>
  <si>
    <t xml:space="preserve">Leverage</t>
  </si>
  <si>
    <t xml:space="preserve">Maximum price for the target return</t>
  </si>
  <si>
    <t xml:space="preserve">Year by year</t>
  </si>
  <si>
    <t xml:space="preserve">Year</t>
  </si>
  <si>
    <t xml:space="preserve">Debt service</t>
  </si>
  <si>
    <t xml:space="preserve">Loan balance</t>
  </si>
  <si>
    <t xml:space="preserve">Principal paid</t>
  </si>
  <si>
    <t xml:space="preserve">Cash flow + principal, % of cash invested</t>
  </si>
  <si>
    <t xml:space="preserve">How much of the price to borrow (year-one deal)</t>
  </si>
  <si>
    <t xml:space="preserve">Cash invested</t>
  </si>
  <si>
    <t xml:space="preserve">Sale in the hold year</t>
  </si>
  <si>
    <t xml:space="preserve">Hold years</t>
  </si>
  <si>
    <t xml:space="preserve">Sale price</t>
  </si>
  <si>
    <t xml:space="preserve">Selling costs</t>
  </si>
  <si>
    <t xml:space="preserve">Loan balance at sale</t>
  </si>
  <si>
    <t xml:space="preserve">Net sale proceeds</t>
  </si>
  <si>
    <t xml:space="preserve">Cash flow over the hold</t>
  </si>
  <si>
    <t xml:space="preserve">Total cash back</t>
  </si>
  <si>
    <t xml:space="preserve">Equity multiple</t>
  </si>
  <si>
    <t xml:space="preserve">IRR</t>
  </si>
  <si>
    <t xml:space="preserve">Cash flows for the IRR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</si>
</sst>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"/>
    <numFmt numFmtId="166" formatCode="0.0%"/>
    <numFmt numFmtId="167" formatCode="0.00%"/>
    <numFmt numFmtId="168" formatCode="0"/>
    <numFmt numFmtId="169" formatCode="\$#,##0.00"/>
    <numFmt numFmtId="170" formatCode="\$#,##0;[RED]&quot;-$&quot;#,##0"/>
    <numFmt numFmtId="171" formatCode="0%"/>
    <numFmt numFmtId="172" formatCode="0.00\×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15.75" hidden="false" customHeight="true" outlineLevel="0" collapsed="false">
      <c r="A7" s="5" t="s">
        <v>7</v>
      </c>
      <c r="B7" s="6" t="s">
        <v>8</v>
      </c>
    </row>
    <row r="8" customFormat="false" ht="15.75" hidden="false" customHeight="true" outlineLevel="0" collapsed="false">
      <c r="A8" s="3" t="s">
        <v>9</v>
      </c>
      <c r="B8" s="4"/>
    </row>
    <row r="9" customFormat="false" ht="15.75" hidden="false" customHeight="true" outlineLevel="0" collapsed="false">
      <c r="A9" s="5" t="s">
        <v>10</v>
      </c>
      <c r="B9" s="6" t="s">
        <v>11</v>
      </c>
    </row>
    <row r="10" customFormat="false" ht="15.75" hidden="false" customHeight="true" outlineLevel="0" collapsed="false">
      <c r="A10" s="5" t="s">
        <v>12</v>
      </c>
      <c r="B10" s="6" t="s">
        <v>13</v>
      </c>
    </row>
    <row r="11" customFormat="false" ht="30" hidden="false" customHeight="true" outlineLevel="0" collapsed="false">
      <c r="A11" s="5" t="s">
        <v>14</v>
      </c>
      <c r="B11" s="6" t="s">
        <v>15</v>
      </c>
    </row>
    <row r="12" customFormat="false" ht="30" hidden="false" customHeight="true" outlineLevel="0" collapsed="false">
      <c r="A12" s="5" t="s">
        <v>16</v>
      </c>
      <c r="B12" s="6" t="s">
        <v>17</v>
      </c>
    </row>
    <row r="13" customFormat="false" ht="30" hidden="false" customHeight="true" outlineLevel="0" collapsed="false">
      <c r="A13" s="5" t="s">
        <v>18</v>
      </c>
      <c r="B13" s="6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8"/>
    <col collapsed="false" customWidth="true" hidden="false" outlineLevel="0" max="3" min="3" style="0" width="46"/>
  </cols>
  <sheetData>
    <row r="1" customFormat="false" ht="17.35" hidden="false" customHeight="false" outlineLevel="0" collapsed="false">
      <c r="A1" s="1" t="s">
        <v>20</v>
      </c>
    </row>
    <row r="3" customFormat="false" ht="15" hidden="false" customHeight="false" outlineLevel="0" collapsed="false">
      <c r="A3" s="3" t="s">
        <v>21</v>
      </c>
      <c r="B3" s="7"/>
    </row>
    <row r="4" customFormat="false" ht="15" hidden="false" customHeight="false" outlineLevel="0" collapsed="false">
      <c r="A4" s="8" t="s">
        <v>22</v>
      </c>
      <c r="B4" s="9" t="n">
        <v>400000</v>
      </c>
    </row>
    <row r="5" customFormat="false" ht="15" hidden="false" customHeight="false" outlineLevel="0" collapsed="false">
      <c r="A5" s="8" t="s">
        <v>23</v>
      </c>
      <c r="B5" s="10" t="n">
        <v>0.25</v>
      </c>
    </row>
    <row r="6" customFormat="false" ht="15" hidden="false" customHeight="false" outlineLevel="0" collapsed="false">
      <c r="A6" s="8" t="s">
        <v>24</v>
      </c>
      <c r="B6" s="11" t="n">
        <v>0.07</v>
      </c>
    </row>
    <row r="7" customFormat="false" ht="15" hidden="false" customHeight="false" outlineLevel="0" collapsed="false">
      <c r="A7" s="8" t="s">
        <v>25</v>
      </c>
      <c r="B7" s="12" t="n">
        <v>30</v>
      </c>
    </row>
    <row r="8" customFormat="false" ht="15" hidden="false" customHeight="false" outlineLevel="0" collapsed="false">
      <c r="A8" s="8" t="s">
        <v>26</v>
      </c>
      <c r="B8" s="11" t="n">
        <v>0</v>
      </c>
    </row>
    <row r="9" customFormat="false" ht="15" hidden="false" customHeight="false" outlineLevel="0" collapsed="false">
      <c r="A9" s="8" t="s">
        <v>27</v>
      </c>
      <c r="B9" s="11" t="n">
        <v>0.03</v>
      </c>
    </row>
    <row r="10" customFormat="false" ht="15" hidden="false" customHeight="false" outlineLevel="0" collapsed="false">
      <c r="A10" s="8" t="s">
        <v>28</v>
      </c>
      <c r="B10" s="9" t="n">
        <v>8000</v>
      </c>
    </row>
    <row r="11" customFormat="false" ht="15" hidden="false" customHeight="false" outlineLevel="0" collapsed="false">
      <c r="A11" s="8" t="s">
        <v>29</v>
      </c>
      <c r="B11" s="9" t="n">
        <v>10000</v>
      </c>
    </row>
    <row r="12" customFormat="false" ht="15" hidden="false" customHeight="false" outlineLevel="0" collapsed="false">
      <c r="A12" s="8" t="s">
        <v>30</v>
      </c>
      <c r="B12" s="9" t="n">
        <v>0</v>
      </c>
    </row>
    <row r="14" customFormat="false" ht="15" hidden="false" customHeight="false" outlineLevel="0" collapsed="false">
      <c r="A14" s="3" t="s">
        <v>31</v>
      </c>
      <c r="B14" s="7"/>
    </row>
    <row r="15" customFormat="false" ht="15" hidden="false" customHeight="false" outlineLevel="0" collapsed="false">
      <c r="A15" s="8" t="s">
        <v>32</v>
      </c>
      <c r="B15" s="9" t="n">
        <v>3600</v>
      </c>
    </row>
    <row r="16" customFormat="false" ht="15" hidden="false" customHeight="false" outlineLevel="0" collapsed="false">
      <c r="A16" s="8" t="s">
        <v>33</v>
      </c>
      <c r="B16" s="9" t="n">
        <v>0</v>
      </c>
    </row>
    <row r="17" customFormat="false" ht="15" hidden="false" customHeight="false" outlineLevel="0" collapsed="false">
      <c r="A17" s="8" t="s">
        <v>34</v>
      </c>
      <c r="B17" s="10" t="n">
        <v>0.06</v>
      </c>
    </row>
    <row r="18" customFormat="false" ht="15" hidden="false" customHeight="false" outlineLevel="0" collapsed="false">
      <c r="A18" s="8" t="s">
        <v>35</v>
      </c>
      <c r="B18" s="9" t="n">
        <v>4800</v>
      </c>
    </row>
    <row r="19" customFormat="false" ht="15" hidden="false" customHeight="false" outlineLevel="0" collapsed="false">
      <c r="A19" s="8" t="s">
        <v>36</v>
      </c>
      <c r="B19" s="9" t="n">
        <v>1800</v>
      </c>
    </row>
    <row r="20" customFormat="false" ht="15" hidden="false" customHeight="false" outlineLevel="0" collapsed="false">
      <c r="A20" s="8" t="s">
        <v>37</v>
      </c>
      <c r="B20" s="10" t="n">
        <v>0.05</v>
      </c>
    </row>
    <row r="21" customFormat="false" ht="15" hidden="false" customHeight="false" outlineLevel="0" collapsed="false">
      <c r="A21" s="8" t="s">
        <v>38</v>
      </c>
      <c r="B21" s="10" t="n">
        <v>0.08</v>
      </c>
    </row>
    <row r="22" customFormat="false" ht="15" hidden="false" customHeight="false" outlineLevel="0" collapsed="false">
      <c r="A22" s="8" t="s">
        <v>39</v>
      </c>
      <c r="B22" s="10" t="n">
        <v>0.05</v>
      </c>
    </row>
    <row r="23" customFormat="false" ht="15" hidden="false" customHeight="false" outlineLevel="0" collapsed="false">
      <c r="A23" s="8" t="s">
        <v>40</v>
      </c>
      <c r="B23" s="9" t="n">
        <v>600</v>
      </c>
    </row>
    <row r="25" customFormat="false" ht="15" hidden="false" customHeight="false" outlineLevel="0" collapsed="false">
      <c r="A25" s="3" t="s">
        <v>41</v>
      </c>
      <c r="B25" s="7"/>
    </row>
    <row r="26" customFormat="false" ht="15" hidden="false" customHeight="false" outlineLevel="0" collapsed="false">
      <c r="A26" s="8" t="s">
        <v>42</v>
      </c>
      <c r="B26" s="10" t="n">
        <v>0.03</v>
      </c>
    </row>
    <row r="27" customFormat="false" ht="15" hidden="false" customHeight="false" outlineLevel="0" collapsed="false">
      <c r="A27" s="8" t="s">
        <v>43</v>
      </c>
      <c r="B27" s="10" t="n">
        <v>0.03</v>
      </c>
    </row>
    <row r="28" customFormat="false" ht="15" hidden="false" customHeight="false" outlineLevel="0" collapsed="false">
      <c r="A28" s="8" t="s">
        <v>44</v>
      </c>
      <c r="B28" s="10" t="n">
        <v>0.03</v>
      </c>
    </row>
    <row r="29" customFormat="false" ht="15" hidden="false" customHeight="false" outlineLevel="0" collapsed="false">
      <c r="A29" s="8" t="s">
        <v>45</v>
      </c>
      <c r="B29" s="12" t="n">
        <v>10</v>
      </c>
    </row>
    <row r="30" customFormat="false" ht="15" hidden="false" customHeight="false" outlineLevel="0" collapsed="false">
      <c r="A30" s="8" t="s">
        <v>46</v>
      </c>
      <c r="B30" s="10" t="n">
        <v>0.06</v>
      </c>
    </row>
    <row r="31" customFormat="false" ht="15" hidden="false" customHeight="false" outlineLevel="0" collapsed="false">
      <c r="A31" s="8" t="s">
        <v>47</v>
      </c>
      <c r="B31" s="10" t="n">
        <v>0.08</v>
      </c>
    </row>
    <row r="33" customFormat="false" ht="15" hidden="false" customHeight="false" outlineLevel="0" collapsed="false">
      <c r="A33" s="3" t="s">
        <v>48</v>
      </c>
      <c r="B33" s="7"/>
    </row>
    <row r="34" customFormat="false" ht="15" hidden="false" customHeight="false" outlineLevel="0" collapsed="false">
      <c r="A34" s="8" t="s">
        <v>49</v>
      </c>
      <c r="B34" s="13" t="n">
        <f aca="false">B4*(1-B5)</f>
        <v>300000</v>
      </c>
    </row>
    <row r="35" customFormat="false" ht="15" hidden="false" customHeight="false" outlineLevel="0" collapsed="false">
      <c r="A35" s="8" t="s">
        <v>50</v>
      </c>
      <c r="B35" s="13" t="n">
        <f aca="false">B4*B5</f>
        <v>100000</v>
      </c>
    </row>
    <row r="36" customFormat="false" ht="15" hidden="false" customHeight="false" outlineLevel="0" collapsed="false">
      <c r="A36" s="8" t="s">
        <v>51</v>
      </c>
      <c r="B36" s="13" t="n">
        <f aca="false">B34*B8</f>
        <v>0</v>
      </c>
    </row>
    <row r="37" customFormat="false" ht="15" hidden="false" customHeight="false" outlineLevel="0" collapsed="false">
      <c r="A37" s="8" t="s">
        <v>52</v>
      </c>
      <c r="B37" s="13" t="n">
        <f aca="false">B4*B9</f>
        <v>12000</v>
      </c>
    </row>
    <row r="38" customFormat="false" ht="15" hidden="false" customHeight="false" outlineLevel="0" collapsed="false">
      <c r="A38" s="5" t="s">
        <v>12</v>
      </c>
      <c r="B38" s="14" t="n">
        <f aca="false">B35+B36+B37+B10+B11-B12</f>
        <v>130000</v>
      </c>
    </row>
    <row r="39" customFormat="false" ht="15" hidden="false" customHeight="false" outlineLevel="0" collapsed="false">
      <c r="A39" s="8" t="s">
        <v>53</v>
      </c>
      <c r="B39" s="15" t="n">
        <f aca="false">IF(B34=0,0,IF(B6=0,B34/(B7*12),PMT(B6/12,B7*12,-B34)))</f>
        <v>1995.90748553755</v>
      </c>
    </row>
    <row r="40" customFormat="false" ht="15" hidden="false" customHeight="false" outlineLevel="0" collapsed="false">
      <c r="A40" s="8" t="s">
        <v>54</v>
      </c>
      <c r="B40" s="13" t="n">
        <f aca="false">B39*12</f>
        <v>23950.8898264506</v>
      </c>
    </row>
    <row r="41" customFormat="false" ht="15" hidden="false" customHeight="false" outlineLevel="0" collapsed="false">
      <c r="A41" s="8" t="s">
        <v>55</v>
      </c>
      <c r="B41" s="16" t="n">
        <f aca="false">IF(B34&gt;0,B40/B34,0)</f>
        <v>0.079836299421502</v>
      </c>
    </row>
    <row r="42" customFormat="false" ht="15" hidden="false" customHeight="false" outlineLevel="0" collapsed="false">
      <c r="A42" s="8" t="s">
        <v>56</v>
      </c>
      <c r="B42" s="13" t="n">
        <f aca="false">(B15+B16)*12*(1-B17)</f>
        <v>40608</v>
      </c>
    </row>
    <row r="43" customFormat="false" ht="15" hidden="false" customHeight="false" outlineLevel="0" collapsed="false">
      <c r="A43" s="8" t="s">
        <v>57</v>
      </c>
      <c r="B43" s="13" t="n">
        <f aca="false">B42*(1-B20-B21-B22)-(B18+B19+B23)</f>
        <v>26098.56</v>
      </c>
    </row>
    <row r="44" customFormat="false" ht="15" hidden="false" customHeight="false" outlineLevel="0" collapsed="false">
      <c r="A44" s="8" t="s">
        <v>58</v>
      </c>
      <c r="B44" s="16" t="n">
        <f aca="false">IF(B4&gt;0,B43/B4,0)</f>
        <v>0.0652464</v>
      </c>
    </row>
    <row r="45" customFormat="false" ht="15" hidden="false" customHeight="false" outlineLevel="0" collapsed="false">
      <c r="A45" s="8" t="s">
        <v>59</v>
      </c>
      <c r="B45" s="13" t="n">
        <f aca="false">B43-B40</f>
        <v>2147.6701735494</v>
      </c>
    </row>
    <row r="46" customFormat="false" ht="15" hidden="false" customHeight="false" outlineLevel="0" collapsed="false">
      <c r="A46" s="5" t="s">
        <v>60</v>
      </c>
      <c r="B46" s="17" t="n">
        <f aca="false">IF(B38&gt;0,B45/B38,0)</f>
        <v>0.0165205397965338</v>
      </c>
    </row>
    <row r="47" customFormat="false" ht="15" hidden="false" customHeight="false" outlineLevel="0" collapsed="false">
      <c r="A47" s="8" t="s">
        <v>61</v>
      </c>
      <c r="B47" s="16" t="n">
        <f aca="false">IF(B38&gt;0,((B15+B16)*12-(B18+B19+B23)-B40)/B38,0)</f>
        <v>0.0926854628734569</v>
      </c>
    </row>
    <row r="48" customFormat="false" ht="15" hidden="false" customHeight="false" outlineLevel="0" collapsed="false">
      <c r="A48" s="8" t="s">
        <v>62</v>
      </c>
      <c r="B48" s="16" t="n">
        <f aca="false">IF(B35&gt;0,B45/B35,0)</f>
        <v>0.021476701735494</v>
      </c>
    </row>
    <row r="49" customFormat="false" ht="15" hidden="false" customHeight="false" outlineLevel="0" collapsed="false">
      <c r="A49" s="8" t="s">
        <v>63</v>
      </c>
      <c r="B49" s="18" t="str">
        <f aca="false">IF(B34&lt;=0,"None",IF(B44&gt;B41,"Positive",IF(B44&lt;B41,"Negative","Neutral")))</f>
        <v>Negative</v>
      </c>
    </row>
    <row r="50" customFormat="false" ht="15" hidden="false" customHeight="false" outlineLevel="0" collapsed="false">
      <c r="A50" s="8" t="s">
        <v>64</v>
      </c>
      <c r="B50" s="13" t="n">
        <f aca="false">(B43-B31*(B10+B11-B12))/((1-B5)*IF(B6=0,1/(B7*12),PMT(B6/12,B7*12,-1))*12*1+B31*(B5+(1-B5)*B8+B9))</f>
        <v>299700.921245609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8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6" min="5" style="0" width="14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22"/>
  </cols>
  <sheetData>
    <row r="1" customFormat="false" ht="17.35" hidden="false" customHeight="false" outlineLevel="0" collapsed="false">
      <c r="A1" s="1" t="s">
        <v>65</v>
      </c>
    </row>
    <row r="3" customFormat="false" ht="43.5" hidden="false" customHeight="true" outlineLevel="0" collapsed="false">
      <c r="A3" s="19" t="s">
        <v>66</v>
      </c>
      <c r="B3" s="19" t="s">
        <v>56</v>
      </c>
      <c r="C3" s="19" t="s">
        <v>57</v>
      </c>
      <c r="D3" s="19" t="s">
        <v>67</v>
      </c>
      <c r="E3" s="19" t="s">
        <v>14</v>
      </c>
      <c r="F3" s="19" t="s">
        <v>10</v>
      </c>
      <c r="G3" s="19" t="s">
        <v>68</v>
      </c>
      <c r="H3" s="19" t="s">
        <v>69</v>
      </c>
      <c r="I3" s="19" t="s">
        <v>70</v>
      </c>
    </row>
    <row r="4" customFormat="false" ht="15" hidden="false" customHeight="false" outlineLevel="0" collapsed="false">
      <c r="A4" s="18" t="n">
        <v>1</v>
      </c>
      <c r="B4" s="13" t="n">
        <f aca="false">('Cash on cash'!$B$15+'Cash on cash'!$B$16)*12*(1+'Cash on cash'!$B$26)^(A4-1)*(1-'Cash on cash'!$B$17)</f>
        <v>40608</v>
      </c>
      <c r="C4" s="13" t="n">
        <f aca="false">B4*(1-'Cash on cash'!$B$20-'Cash on cash'!$B$21-'Cash on cash'!$B$22)-('Cash on cash'!$B$18+'Cash on cash'!$B$19+'Cash on cash'!$B$23)*(1+'Cash on cash'!$B$27)^(A4-1)</f>
        <v>26098.56</v>
      </c>
      <c r="D4" s="13" t="n">
        <f aca="false">'Cash on cash'!$B$40</f>
        <v>23950.8898264506</v>
      </c>
      <c r="E4" s="20" t="n">
        <f aca="false">C4-D4</f>
        <v>2147.6701735494</v>
      </c>
      <c r="F4" s="16" t="n">
        <f aca="false">IF('Cash on cash'!$B$38&gt;0,E4/'Cash on cash'!$B$38,0)</f>
        <v>0.0165205397965338</v>
      </c>
      <c r="G4" s="13" t="n">
        <f aca="false">IF('Cash on cash'!$B$34=0,0,IF('Cash on cash'!$B$6=0,MAX(0,'Cash on cash'!$B$34-'Cash on cash'!$B$34/('Cash on cash'!$B$7*12)*MIN(A4*12,'Cash on cash'!$B$7*12)),MAX(0,'Cash on cash'!$B$34*(1+'Cash on cash'!$B$6/12)^MIN(A4*12,'Cash on cash'!$B$7*12)-'Cash on cash'!$B$39*((1+'Cash on cash'!$B$6/12)^MIN(A4*12,'Cash on cash'!$B$7*12)-1)/('Cash on cash'!$B$6/12))))</f>
        <v>296952.570512115</v>
      </c>
      <c r="H4" s="13" t="n">
        <f aca="false">'Cash on cash'!$B$34-G4</f>
        <v>3047.42948788509</v>
      </c>
      <c r="I4" s="16" t="n">
        <f aca="false">IF('Cash on cash'!$B$38&gt;0,(E4+H4)/'Cash on cash'!$B$38,0)</f>
        <v>0.0399623050879576</v>
      </c>
    </row>
    <row r="5" customFormat="false" ht="15" hidden="false" customHeight="false" outlineLevel="0" collapsed="false">
      <c r="A5" s="18" t="n">
        <v>2</v>
      </c>
      <c r="B5" s="13" t="n">
        <f aca="false">('Cash on cash'!$B$15+'Cash on cash'!$B$16)*12*(1+'Cash on cash'!$B$26)^(A5-1)*(1-'Cash on cash'!$B$17)</f>
        <v>41826.24</v>
      </c>
      <c r="C5" s="13" t="n">
        <f aca="false">B5*(1-'Cash on cash'!$B$20-'Cash on cash'!$B$21-'Cash on cash'!$B$22)-('Cash on cash'!$B$18+'Cash on cash'!$B$19+'Cash on cash'!$B$23)*(1+'Cash on cash'!$B$27)^(A5-1)</f>
        <v>26881.5168</v>
      </c>
      <c r="D5" s="13" t="n">
        <f aca="false">'Cash on cash'!$B$40</f>
        <v>23950.8898264506</v>
      </c>
      <c r="E5" s="20" t="n">
        <f aca="false">C5-D5</f>
        <v>2930.6269735494</v>
      </c>
      <c r="F5" s="16" t="n">
        <f aca="false">IF('Cash on cash'!$B$38&gt;0,E5/'Cash on cash'!$B$38,0)</f>
        <v>0.0225432844119185</v>
      </c>
      <c r="G5" s="13" t="n">
        <f aca="false">IF('Cash on cash'!$B$34=0,0,IF('Cash on cash'!$B$6=0,MAX(0,'Cash on cash'!$B$34-'Cash on cash'!$B$34/('Cash on cash'!$B$7*12)*MIN(A5*12,'Cash on cash'!$B$7*12)),MAX(0,'Cash on cash'!$B$34*(1+'Cash on cash'!$B$6/12)^MIN(A5*12,'Cash on cash'!$B$7*12)-'Cash on cash'!$B$39*((1+'Cash on cash'!$B$6/12)^MIN(A5*12,'Cash on cash'!$B$7*12)-1)/('Cash on cash'!$B$6/12))))</f>
        <v>293684.842100147</v>
      </c>
      <c r="H5" s="13" t="n">
        <f aca="false">G4-G5</f>
        <v>3267.72841196798</v>
      </c>
      <c r="I5" s="16" t="n">
        <f aca="false">IF('Cash on cash'!$B$38&gt;0,(E5+H5)/'Cash on cash'!$B$38,0)</f>
        <v>0.0476796568116722</v>
      </c>
    </row>
    <row r="6" customFormat="false" ht="15" hidden="false" customHeight="false" outlineLevel="0" collapsed="false">
      <c r="A6" s="18" t="n">
        <v>3</v>
      </c>
      <c r="B6" s="13" t="n">
        <f aca="false">('Cash on cash'!$B$15+'Cash on cash'!$B$16)*12*(1+'Cash on cash'!$B$26)^(A6-1)*(1-'Cash on cash'!$B$17)</f>
        <v>43081.0272</v>
      </c>
      <c r="C6" s="13" t="n">
        <f aca="false">B6*(1-'Cash on cash'!$B$20-'Cash on cash'!$B$21-'Cash on cash'!$B$22)-('Cash on cash'!$B$18+'Cash on cash'!$B$19+'Cash on cash'!$B$23)*(1+'Cash on cash'!$B$27)^(A6-1)</f>
        <v>27687.962304</v>
      </c>
      <c r="D6" s="13" t="n">
        <f aca="false">'Cash on cash'!$B$40</f>
        <v>23950.8898264506</v>
      </c>
      <c r="E6" s="20" t="n">
        <f aca="false">C6-D6</f>
        <v>3737.0724775494</v>
      </c>
      <c r="F6" s="16" t="n">
        <f aca="false">IF('Cash on cash'!$B$38&gt;0,E6/'Cash on cash'!$B$38,0)</f>
        <v>0.0287467113657646</v>
      </c>
      <c r="G6" s="13" t="n">
        <f aca="false">IF('Cash on cash'!$B$34=0,0,IF('Cash on cash'!$B$6=0,MAX(0,'Cash on cash'!$B$34-'Cash on cash'!$B$34/('Cash on cash'!$B$7*12)*MIN(A6*12,'Cash on cash'!$B$7*12)),MAX(0,'Cash on cash'!$B$34*(1+'Cash on cash'!$B$6/12)^MIN(A6*12,'Cash on cash'!$B$7*12)-'Cash on cash'!$B$39*((1+'Cash on cash'!$B$6/12)^MIN(A6*12,'Cash on cash'!$B$7*12)-1)/('Cash on cash'!$B$6/12))))</f>
        <v>290180.889337062</v>
      </c>
      <c r="H6" s="13" t="n">
        <f aca="false">G5-G6</f>
        <v>3503.95276308543</v>
      </c>
      <c r="I6" s="16" t="n">
        <f aca="false">IF('Cash on cash'!$B$38&gt;0,(E6+H6)/'Cash on cash'!$B$38,0)</f>
        <v>0.0557001941587294</v>
      </c>
    </row>
    <row r="7" customFormat="false" ht="15" hidden="false" customHeight="false" outlineLevel="0" collapsed="false">
      <c r="A7" s="18" t="n">
        <v>4</v>
      </c>
      <c r="B7" s="13" t="n">
        <f aca="false">('Cash on cash'!$B$15+'Cash on cash'!$B$16)*12*(1+'Cash on cash'!$B$26)^(A7-1)*(1-'Cash on cash'!$B$17)</f>
        <v>44373.458016</v>
      </c>
      <c r="C7" s="13" t="n">
        <f aca="false">B7*(1-'Cash on cash'!$B$20-'Cash on cash'!$B$21-'Cash on cash'!$B$22)-('Cash on cash'!$B$18+'Cash on cash'!$B$19+'Cash on cash'!$B$23)*(1+'Cash on cash'!$B$27)^(A7-1)</f>
        <v>28518.60117312</v>
      </c>
      <c r="D7" s="13" t="n">
        <f aca="false">'Cash on cash'!$B$40</f>
        <v>23950.8898264506</v>
      </c>
      <c r="E7" s="20" t="n">
        <f aca="false">C7-D7</f>
        <v>4567.7113466694</v>
      </c>
      <c r="F7" s="16" t="n">
        <f aca="false">IF('Cash on cash'!$B$38&gt;0,E7/'Cash on cash'!$B$38,0)</f>
        <v>0.0351362411282261</v>
      </c>
      <c r="G7" s="13" t="n">
        <f aca="false">IF('Cash on cash'!$B$34=0,0,IF('Cash on cash'!$B$6=0,MAX(0,'Cash on cash'!$B$34-'Cash on cash'!$B$34/('Cash on cash'!$B$7*12)*MIN(A7*12,'Cash on cash'!$B$7*12)),MAX(0,'Cash on cash'!$B$34*(1+'Cash on cash'!$B$6/12)^MIN(A7*12,'Cash on cash'!$B$7*12)-'Cash on cash'!$B$39*((1+'Cash on cash'!$B$6/12)^MIN(A7*12,'Cash on cash'!$B$7*12)-1)/('Cash on cash'!$B$6/12))))</f>
        <v>286423.635545416</v>
      </c>
      <c r="H7" s="13" t="n">
        <f aca="false">G6-G7</f>
        <v>3757.25379164529</v>
      </c>
      <c r="I7" s="16" t="n">
        <f aca="false">IF('Cash on cash'!$B$38&gt;0,(E7+H7)/'Cash on cash'!$B$38,0)</f>
        <v>0.0640381933716514</v>
      </c>
    </row>
    <row r="8" customFormat="false" ht="15" hidden="false" customHeight="false" outlineLevel="0" collapsed="false">
      <c r="A8" s="18" t="n">
        <v>5</v>
      </c>
      <c r="B8" s="13" t="n">
        <f aca="false">('Cash on cash'!$B$15+'Cash on cash'!$B$16)*12*(1+'Cash on cash'!$B$26)^(A8-1)*(1-'Cash on cash'!$B$17)</f>
        <v>45704.66175648</v>
      </c>
      <c r="C8" s="13" t="n">
        <f aca="false">B8*(1-'Cash on cash'!$B$20-'Cash on cash'!$B$21-'Cash on cash'!$B$22)-('Cash on cash'!$B$18+'Cash on cash'!$B$19+'Cash on cash'!$B$23)*(1+'Cash on cash'!$B$27)^(A8-1)</f>
        <v>29374.1592083136</v>
      </c>
      <c r="D8" s="13" t="n">
        <f aca="false">'Cash on cash'!$B$40</f>
        <v>23950.8898264506</v>
      </c>
      <c r="E8" s="20" t="n">
        <f aca="false">C8-D8</f>
        <v>5423.269381863</v>
      </c>
      <c r="F8" s="16" t="n">
        <f aca="false">IF('Cash on cash'!$B$38&gt;0,E8/'Cash on cash'!$B$38,0)</f>
        <v>0.0417174567835615</v>
      </c>
      <c r="G8" s="13" t="n">
        <f aca="false">IF('Cash on cash'!$B$34=0,0,IF('Cash on cash'!$B$6=0,MAX(0,'Cash on cash'!$B$34-'Cash on cash'!$B$34/('Cash on cash'!$B$7*12)*MIN(A8*12,'Cash on cash'!$B$7*12)),MAX(0,'Cash on cash'!$B$34*(1+'Cash on cash'!$B$6/12)^MIN(A8*12,'Cash on cash'!$B$7*12)-'Cash on cash'!$B$39*((1+'Cash on cash'!$B$6/12)^MIN(A8*12,'Cash on cash'!$B$7*12)-1)/('Cash on cash'!$B$6/12))))</f>
        <v>282394.769573376</v>
      </c>
      <c r="H8" s="13" t="n">
        <f aca="false">G7-G8</f>
        <v>4028.86597204069</v>
      </c>
      <c r="I8" s="16" t="n">
        <f aca="false">IF('Cash on cash'!$B$38&gt;0,(E8+H8)/'Cash on cash'!$B$38,0)</f>
        <v>0.0727087334915668</v>
      </c>
    </row>
    <row r="9" customFormat="false" ht="15" hidden="false" customHeight="false" outlineLevel="0" collapsed="false">
      <c r="A9" s="18" t="n">
        <v>6</v>
      </c>
      <c r="B9" s="13" t="n">
        <f aca="false">('Cash on cash'!$B$15+'Cash on cash'!$B$16)*12*(1+'Cash on cash'!$B$26)^(A9-1)*(1-'Cash on cash'!$B$17)</f>
        <v>47075.8016091744</v>
      </c>
      <c r="C9" s="13" t="n">
        <f aca="false">B9*(1-'Cash on cash'!$B$20-'Cash on cash'!$B$21-'Cash on cash'!$B$22)-('Cash on cash'!$B$18+'Cash on cash'!$B$19+'Cash on cash'!$B$23)*(1+'Cash on cash'!$B$27)^(A9-1)</f>
        <v>30255.383984563</v>
      </c>
      <c r="D9" s="13" t="n">
        <f aca="false">'Cash on cash'!$B$40</f>
        <v>23950.8898264506</v>
      </c>
      <c r="E9" s="20" t="n">
        <f aca="false">C9-D9</f>
        <v>6304.49415811241</v>
      </c>
      <c r="F9" s="16" t="n">
        <f aca="false">IF('Cash on cash'!$B$38&gt;0,E9/'Cash on cash'!$B$38,0)</f>
        <v>0.048496108908557</v>
      </c>
      <c r="G9" s="13" t="n">
        <f aca="false">IF('Cash on cash'!$B$34=0,0,IF('Cash on cash'!$B$6=0,MAX(0,'Cash on cash'!$B$34-'Cash on cash'!$B$34/('Cash on cash'!$B$7*12)*MIN(A9*12,'Cash on cash'!$B$7*12)),MAX(0,'Cash on cash'!$B$34*(1+'Cash on cash'!$B$6/12)^MIN(A9*12,'Cash on cash'!$B$7*12)-'Cash on cash'!$B$39*((1+'Cash on cash'!$B$6/12)^MIN(A9*12,'Cash on cash'!$B$7*12)-1)/('Cash on cash'!$B$6/12))))</f>
        <v>278074.656554457</v>
      </c>
      <c r="H9" s="13" t="n">
        <f aca="false">G8-G9</f>
        <v>4320.11301891849</v>
      </c>
      <c r="I9" s="16" t="n">
        <f aca="false">IF('Cash on cash'!$B$38&gt;0,(E9+H9)/'Cash on cash'!$B$38,0)</f>
        <v>0.0817277475156223</v>
      </c>
    </row>
    <row r="10" customFormat="false" ht="15" hidden="false" customHeight="false" outlineLevel="0" collapsed="false">
      <c r="A10" s="18" t="n">
        <v>7</v>
      </c>
      <c r="B10" s="13" t="n">
        <f aca="false">('Cash on cash'!$B$15+'Cash on cash'!$B$16)*12*(1+'Cash on cash'!$B$26)^(A10-1)*(1-'Cash on cash'!$B$17)</f>
        <v>48488.0756574496</v>
      </c>
      <c r="C10" s="13" t="n">
        <f aca="false">B10*(1-'Cash on cash'!$B$20-'Cash on cash'!$B$21-'Cash on cash'!$B$22)-('Cash on cash'!$B$18+'Cash on cash'!$B$19+'Cash on cash'!$B$23)*(1+'Cash on cash'!$B$27)^(A10-1)</f>
        <v>31163.0455040999</v>
      </c>
      <c r="D10" s="13" t="n">
        <f aca="false">'Cash on cash'!$B$40</f>
        <v>23950.8898264506</v>
      </c>
      <c r="E10" s="20" t="n">
        <f aca="false">C10-D10</f>
        <v>7212.15567764929</v>
      </c>
      <c r="F10" s="16" t="n">
        <f aca="false">IF('Cash on cash'!$B$38&gt;0,E10/'Cash on cash'!$B$38,0)</f>
        <v>0.0554781205973023</v>
      </c>
      <c r="G10" s="13" t="n">
        <f aca="false">IF('Cash on cash'!$B$34=0,0,IF('Cash on cash'!$B$6=0,MAX(0,'Cash on cash'!$B$34-'Cash on cash'!$B$34/('Cash on cash'!$B$7*12)*MIN(A10*12,'Cash on cash'!$B$7*12)),MAX(0,'Cash on cash'!$B$34*(1+'Cash on cash'!$B$6/12)^MIN(A10*12,'Cash on cash'!$B$7*12)-'Cash on cash'!$B$39*((1+'Cash on cash'!$B$6/12)^MIN(A10*12,'Cash on cash'!$B$7*12)-1)/('Cash on cash'!$B$6/12))))</f>
        <v>273442.242216093</v>
      </c>
      <c r="H10" s="13" t="n">
        <f aca="false">G9-G10</f>
        <v>4632.41433836409</v>
      </c>
      <c r="I10" s="16" t="n">
        <f aca="false">IF('Cash on cash'!$B$38&gt;0,(E10+H10)/'Cash on cash'!$B$38,0)</f>
        <v>0.0911120770462568</v>
      </c>
    </row>
    <row r="11" customFormat="false" ht="15" hidden="false" customHeight="false" outlineLevel="0" collapsed="false">
      <c r="A11" s="18" t="n">
        <v>8</v>
      </c>
      <c r="B11" s="13" t="n">
        <f aca="false">('Cash on cash'!$B$15+'Cash on cash'!$B$16)*12*(1+'Cash on cash'!$B$26)^(A11-1)*(1-'Cash on cash'!$B$17)</f>
        <v>49942.7179271731</v>
      </c>
      <c r="C11" s="13" t="n">
        <f aca="false">B11*(1-'Cash on cash'!$B$20-'Cash on cash'!$B$21-'Cash on cash'!$B$22)-('Cash on cash'!$B$18+'Cash on cash'!$B$19+'Cash on cash'!$B$23)*(1+'Cash on cash'!$B$27)^(A11-1)</f>
        <v>32097.9368692229</v>
      </c>
      <c r="D11" s="13" t="n">
        <f aca="false">'Cash on cash'!$B$40</f>
        <v>23950.8898264506</v>
      </c>
      <c r="E11" s="20" t="n">
        <f aca="false">C11-D11</f>
        <v>8147.0470427723</v>
      </c>
      <c r="F11" s="16" t="n">
        <f aca="false">IF('Cash on cash'!$B$38&gt;0,E11/'Cash on cash'!$B$38,0)</f>
        <v>0.06266959263671</v>
      </c>
      <c r="G11" s="13" t="n">
        <f aca="false">IF('Cash on cash'!$B$34=0,0,IF('Cash on cash'!$B$6=0,MAX(0,'Cash on cash'!$B$34-'Cash on cash'!$B$34/('Cash on cash'!$B$7*12)*MIN(A11*12,'Cash on cash'!$B$7*12)),MAX(0,'Cash on cash'!$B$34*(1+'Cash on cash'!$B$6/12)^MIN(A11*12,'Cash on cash'!$B$7*12)-'Cash on cash'!$B$39*((1+'Cash on cash'!$B$6/12)^MIN(A11*12,'Cash on cash'!$B$7*12)-1)/('Cash on cash'!$B$6/12))))</f>
        <v>268474.950270649</v>
      </c>
      <c r="H11" s="13" t="n">
        <f aca="false">G10-G11</f>
        <v>4967.29194544413</v>
      </c>
      <c r="I11" s="16" t="n">
        <f aca="false">IF('Cash on cash'!$B$38&gt;0,(E11+H11)/'Cash on cash'!$B$38,0)</f>
        <v>0.100879530678588</v>
      </c>
    </row>
    <row r="12" customFormat="false" ht="15" hidden="false" customHeight="false" outlineLevel="0" collapsed="false">
      <c r="A12" s="18" t="n">
        <v>9</v>
      </c>
      <c r="B12" s="13" t="n">
        <f aca="false">('Cash on cash'!$B$15+'Cash on cash'!$B$16)*12*(1+'Cash on cash'!$B$26)^(A12-1)*(1-'Cash on cash'!$B$17)</f>
        <v>51440.9994649883</v>
      </c>
      <c r="C12" s="13" t="n">
        <f aca="false">B12*(1-'Cash on cash'!$B$20-'Cash on cash'!$B$21-'Cash on cash'!$B$22)-('Cash on cash'!$B$18+'Cash on cash'!$B$19+'Cash on cash'!$B$23)*(1+'Cash on cash'!$B$27)^(A12-1)</f>
        <v>33060.8749752996</v>
      </c>
      <c r="D12" s="13" t="n">
        <f aca="false">'Cash on cash'!$B$40</f>
        <v>23950.8898264506</v>
      </c>
      <c r="E12" s="20" t="n">
        <f aca="false">C12-D12</f>
        <v>9109.98514884898</v>
      </c>
      <c r="F12" s="16" t="n">
        <f aca="false">IF('Cash on cash'!$B$38&gt;0,E12/'Cash on cash'!$B$38,0)</f>
        <v>0.0700768088372998</v>
      </c>
      <c r="G12" s="13" t="n">
        <f aca="false">IF('Cash on cash'!$B$34=0,0,IF('Cash on cash'!$B$6=0,MAX(0,'Cash on cash'!$B$34-'Cash on cash'!$B$34/('Cash on cash'!$B$7*12)*MIN(A12*12,'Cash on cash'!$B$7*12)),MAX(0,'Cash on cash'!$B$34*(1+'Cash on cash'!$B$6/12)^MIN(A12*12,'Cash on cash'!$B$7*12)-'Cash on cash'!$B$39*((1+'Cash on cash'!$B$6/12)^MIN(A12*12,'Cash on cash'!$B$7*12)-1)/('Cash on cash'!$B$6/12))))</f>
        <v>263148.572388832</v>
      </c>
      <c r="H12" s="13" t="n">
        <f aca="false">G11-G12</f>
        <v>5326.37788181671</v>
      </c>
      <c r="I12" s="16" t="n">
        <f aca="false">IF('Cash on cash'!$B$38&gt;0,(E12+H12)/'Cash on cash'!$B$38,0)</f>
        <v>0.111048946389736</v>
      </c>
    </row>
    <row r="13" customFormat="false" ht="15" hidden="false" customHeight="false" outlineLevel="0" collapsed="false">
      <c r="A13" s="18" t="n">
        <v>10</v>
      </c>
      <c r="B13" s="13" t="n">
        <f aca="false">('Cash on cash'!$B$15+'Cash on cash'!$B$16)*12*(1+'Cash on cash'!$B$26)^(A13-1)*(1-'Cash on cash'!$B$17)</f>
        <v>52984.229448938</v>
      </c>
      <c r="C13" s="13" t="n">
        <f aca="false">B13*(1-'Cash on cash'!$B$20-'Cash on cash'!$B$21-'Cash on cash'!$B$22)-('Cash on cash'!$B$18+'Cash on cash'!$B$19+'Cash on cash'!$B$23)*(1+'Cash on cash'!$B$27)^(A13-1)</f>
        <v>34052.7012245586</v>
      </c>
      <c r="D13" s="13" t="n">
        <f aca="false">'Cash on cash'!$B$40</f>
        <v>23950.8898264506</v>
      </c>
      <c r="E13" s="20" t="n">
        <f aca="false">C13-D13</f>
        <v>10101.811398108</v>
      </c>
      <c r="F13" s="16" t="n">
        <f aca="false">IF('Cash on cash'!$B$38&gt;0,E13/'Cash on cash'!$B$38,0)</f>
        <v>0.0777062415239075</v>
      </c>
      <c r="G13" s="13" t="n">
        <f aca="false">IF('Cash on cash'!$B$34=0,0,IF('Cash on cash'!$B$6=0,MAX(0,'Cash on cash'!$B$34-'Cash on cash'!$B$34/('Cash on cash'!$B$7*12)*MIN(A13*12,'Cash on cash'!$B$7*12)),MAX(0,'Cash on cash'!$B$34*(1+'Cash on cash'!$B$6/12)^MIN(A13*12,'Cash on cash'!$B$7*12)-'Cash on cash'!$B$39*((1+'Cash on cash'!$B$6/12)^MIN(A13*12,'Cash on cash'!$B$7*12)-1)/('Cash on cash'!$B$6/12))))</f>
        <v>257437.150219268</v>
      </c>
      <c r="H13" s="13" t="n">
        <f aca="false">G12-G13</f>
        <v>5711.42216956418</v>
      </c>
      <c r="I13" s="16" t="n">
        <f aca="false">IF('Cash on cash'!$B$38&gt;0,(E13+H13)/'Cash on cash'!$B$38,0)</f>
        <v>0.121640258212863</v>
      </c>
    </row>
    <row r="14" customFormat="false" ht="15" hidden="false" customHeight="false" outlineLevel="0" collapsed="false">
      <c r="A14" s="18" t="n">
        <v>11</v>
      </c>
      <c r="B14" s="13" t="n">
        <f aca="false">('Cash on cash'!$B$15+'Cash on cash'!$B$16)*12*(1+'Cash on cash'!$B$26)^(A14-1)*(1-'Cash on cash'!$B$17)</f>
        <v>54573.7563324061</v>
      </c>
      <c r="C14" s="13" t="n">
        <f aca="false">B14*(1-'Cash on cash'!$B$20-'Cash on cash'!$B$21-'Cash on cash'!$B$22)-('Cash on cash'!$B$18+'Cash on cash'!$B$19+'Cash on cash'!$B$23)*(1+'Cash on cash'!$B$27)^(A14-1)</f>
        <v>35074.2822612953</v>
      </c>
      <c r="D14" s="13" t="n">
        <f aca="false">'Cash on cash'!$B$40</f>
        <v>23950.8898264506</v>
      </c>
      <c r="E14" s="20" t="n">
        <f aca="false">C14-D14</f>
        <v>11123.3924348447</v>
      </c>
      <c r="F14" s="16" t="n">
        <f aca="false">IF('Cash on cash'!$B$38&gt;0,E14/'Cash on cash'!$B$38,0)</f>
        <v>0.0855645571911133</v>
      </c>
      <c r="G14" s="13" t="n">
        <f aca="false">IF('Cash on cash'!$B$34=0,0,IF('Cash on cash'!$B$6=0,MAX(0,'Cash on cash'!$B$34-'Cash on cash'!$B$34/('Cash on cash'!$B$7*12)*MIN(A14*12,'Cash on cash'!$B$7*12)),MAX(0,'Cash on cash'!$B$34*(1+'Cash on cash'!$B$6/12)^MIN(A14*12,'Cash on cash'!$B$7*12)-'Cash on cash'!$B$39*((1+'Cash on cash'!$B$6/12)^MIN(A14*12,'Cash on cash'!$B$7*12)-1)/('Cash on cash'!$B$6/12))))</f>
        <v>251312.848879262</v>
      </c>
      <c r="H14" s="13" t="n">
        <f aca="false">G13-G14</f>
        <v>6124.30134000606</v>
      </c>
      <c r="I14" s="16" t="n">
        <f aca="false">IF('Cash on cash'!$B$38&gt;0,(E14+H14)/'Cash on cash'!$B$38,0)</f>
        <v>0.132674567498852</v>
      </c>
    </row>
    <row r="15" customFormat="false" ht="15" hidden="false" customHeight="false" outlineLevel="0" collapsed="false">
      <c r="A15" s="18" t="n">
        <v>12</v>
      </c>
      <c r="B15" s="13" t="n">
        <f aca="false">('Cash on cash'!$B$15+'Cash on cash'!$B$16)*12*(1+'Cash on cash'!$B$26)^(A15-1)*(1-'Cash on cash'!$B$17)</f>
        <v>56210.9690223783</v>
      </c>
      <c r="C15" s="13" t="n">
        <f aca="false">B15*(1-'Cash on cash'!$B$20-'Cash on cash'!$B$21-'Cash on cash'!$B$22)-('Cash on cash'!$B$18+'Cash on cash'!$B$19+'Cash on cash'!$B$23)*(1+'Cash on cash'!$B$27)^(A15-1)</f>
        <v>36126.5107291342</v>
      </c>
      <c r="D15" s="13" t="n">
        <f aca="false">'Cash on cash'!$B$40</f>
        <v>23950.8898264506</v>
      </c>
      <c r="E15" s="20" t="n">
        <f aca="false">C15-D15</f>
        <v>12175.6209026836</v>
      </c>
      <c r="F15" s="16" t="n">
        <f aca="false">IF('Cash on cash'!$B$38&gt;0,E15/'Cash on cash'!$B$38,0)</f>
        <v>0.0936586223283353</v>
      </c>
      <c r="G15" s="13" t="n">
        <f aca="false">IF('Cash on cash'!$B$34=0,0,IF('Cash on cash'!$B$6=0,MAX(0,'Cash on cash'!$B$34-'Cash on cash'!$B$34/('Cash on cash'!$B$7*12)*MIN(A15*12,'Cash on cash'!$B$7*12)),MAX(0,'Cash on cash'!$B$34*(1+'Cash on cash'!$B$6/12)^MIN(A15*12,'Cash on cash'!$B$7*12)-'Cash on cash'!$B$39*((1+'Cash on cash'!$B$6/12)^MIN(A15*12,'Cash on cash'!$B$7*12)-1)/('Cash on cash'!$B$6/12))))</f>
        <v>244745.821300199</v>
      </c>
      <c r="H15" s="13" t="n">
        <f aca="false">G14-G15</f>
        <v>6567.02757906303</v>
      </c>
      <c r="I15" s="16" t="n">
        <f aca="false">IF('Cash on cash'!$B$38&gt;0,(E15+H15)/'Cash on cash'!$B$38,0)</f>
        <v>0.144174219090359</v>
      </c>
    </row>
    <row r="16" customFormat="false" ht="15" hidden="false" customHeight="false" outlineLevel="0" collapsed="false">
      <c r="A16" s="18" t="n">
        <v>13</v>
      </c>
      <c r="B16" s="13" t="n">
        <f aca="false">('Cash on cash'!$B$15+'Cash on cash'!$B$16)*12*(1+'Cash on cash'!$B$26)^(A16-1)*(1-'Cash on cash'!$B$17)</f>
        <v>57897.2980930496</v>
      </c>
      <c r="C16" s="13" t="n">
        <f aca="false">B16*(1-'Cash on cash'!$B$20-'Cash on cash'!$B$21-'Cash on cash'!$B$22)-('Cash on cash'!$B$18+'Cash on cash'!$B$19+'Cash on cash'!$B$23)*(1+'Cash on cash'!$B$27)^(A16-1)</f>
        <v>37210.3060510082</v>
      </c>
      <c r="D16" s="13" t="n">
        <f aca="false">'Cash on cash'!$B$40</f>
        <v>23950.8898264506</v>
      </c>
      <c r="E16" s="20" t="n">
        <f aca="false">C16-D16</f>
        <v>13259.4162245576</v>
      </c>
      <c r="F16" s="16" t="n">
        <f aca="false">IF('Cash on cash'!$B$38&gt;0,E16/'Cash on cash'!$B$38,0)</f>
        <v>0.101995509419674</v>
      </c>
      <c r="G16" s="13" t="n">
        <f aca="false">IF('Cash on cash'!$B$34=0,0,IF('Cash on cash'!$B$6=0,MAX(0,'Cash on cash'!$B$34-'Cash on cash'!$B$34/('Cash on cash'!$B$7*12)*MIN(A16*12,'Cash on cash'!$B$7*12)),MAX(0,'Cash on cash'!$B$34*(1+'Cash on cash'!$B$6/12)^MIN(A16*12,'Cash on cash'!$B$7*12)-'Cash on cash'!$B$39*((1+'Cash on cash'!$B$6/12)^MIN(A16*12,'Cash on cash'!$B$7*12)-1)/('Cash on cash'!$B$6/12))))</f>
        <v>237704.06276646</v>
      </c>
      <c r="H16" s="13" t="n">
        <f aca="false">G15-G16</f>
        <v>7041.75853373873</v>
      </c>
      <c r="I16" s="16" t="n">
        <f aca="false">IF('Cash on cash'!$B$38&gt;0,(E16+H16)/'Cash on cash'!$B$38,0)</f>
        <v>0.156162882756126</v>
      </c>
    </row>
    <row r="17" customFormat="false" ht="15" hidden="false" customHeight="false" outlineLevel="0" collapsed="false">
      <c r="A17" s="18" t="n">
        <v>14</v>
      </c>
      <c r="B17" s="13" t="n">
        <f aca="false">('Cash on cash'!$B$15+'Cash on cash'!$B$16)*12*(1+'Cash on cash'!$B$26)^(A17-1)*(1-'Cash on cash'!$B$17)</f>
        <v>59634.2170358411</v>
      </c>
      <c r="C17" s="13" t="n">
        <f aca="false">B17*(1-'Cash on cash'!$B$20-'Cash on cash'!$B$21-'Cash on cash'!$B$22)-('Cash on cash'!$B$18+'Cash on cash'!$B$19+'Cash on cash'!$B$23)*(1+'Cash on cash'!$B$27)^(A17-1)</f>
        <v>38326.6152325385</v>
      </c>
      <c r="D17" s="13" t="n">
        <f aca="false">'Cash on cash'!$B$40</f>
        <v>23950.8898264506</v>
      </c>
      <c r="E17" s="20" t="n">
        <f aca="false">C17-D17</f>
        <v>14375.7254060879</v>
      </c>
      <c r="F17" s="16" t="n">
        <f aca="false">IF('Cash on cash'!$B$38&gt;0,E17/'Cash on cash'!$B$38,0)</f>
        <v>0.110582503123753</v>
      </c>
      <c r="G17" s="13" t="n">
        <f aca="false">IF('Cash on cash'!$B$34=0,0,IF('Cash on cash'!$B$6=0,MAX(0,'Cash on cash'!$B$34-'Cash on cash'!$B$34/('Cash on cash'!$B$7*12)*MIN(A17*12,'Cash on cash'!$B$7*12)),MAX(0,'Cash on cash'!$B$34*(1+'Cash on cash'!$B$6/12)^MIN(A17*12,'Cash on cash'!$B$7*12)-'Cash on cash'!$B$39*((1+'Cash on cash'!$B$6/12)^MIN(A17*12,'Cash on cash'!$B$7*12)-1)/('Cash on cash'!$B$6/12))))</f>
        <v>230153.254938948</v>
      </c>
      <c r="H17" s="13" t="n">
        <f aca="false">G16-G17</f>
        <v>7550.80782751262</v>
      </c>
      <c r="I17" s="16" t="n">
        <f aca="false">IF('Cash on cash'!$B$38&gt;0,(E17+H17)/'Cash on cash'!$B$38,0)</f>
        <v>0.168665640258465</v>
      </c>
    </row>
    <row r="18" customFormat="false" ht="15" hidden="false" customHeight="false" outlineLevel="0" collapsed="false">
      <c r="A18" s="18" t="n">
        <v>15</v>
      </c>
      <c r="B18" s="13" t="n">
        <f aca="false">('Cash on cash'!$B$15+'Cash on cash'!$B$16)*12*(1+'Cash on cash'!$B$26)^(A18-1)*(1-'Cash on cash'!$B$17)</f>
        <v>61423.2435469164</v>
      </c>
      <c r="C18" s="13" t="n">
        <f aca="false">B18*(1-'Cash on cash'!$B$20-'Cash on cash'!$B$21-'Cash on cash'!$B$22)-('Cash on cash'!$B$18+'Cash on cash'!$B$19+'Cash on cash'!$B$23)*(1+'Cash on cash'!$B$27)^(A18-1)</f>
        <v>39476.4136895146</v>
      </c>
      <c r="D18" s="13" t="n">
        <f aca="false">'Cash on cash'!$B$40</f>
        <v>23950.8898264506</v>
      </c>
      <c r="E18" s="20" t="n">
        <f aca="false">C18-D18</f>
        <v>15525.523863064</v>
      </c>
      <c r="F18" s="16" t="n">
        <f aca="false">IF('Cash on cash'!$B$38&gt;0,E18/'Cash on cash'!$B$38,0)</f>
        <v>0.119427106638954</v>
      </c>
      <c r="G18" s="13" t="n">
        <f aca="false">IF('Cash on cash'!$B$34=0,0,IF('Cash on cash'!$B$6=0,MAX(0,'Cash on cash'!$B$34-'Cash on cash'!$B$34/('Cash on cash'!$B$7*12)*MIN(A18*12,'Cash on cash'!$B$7*12)),MAX(0,'Cash on cash'!$B$34*(1+'Cash on cash'!$B$6/12)^MIN(A18*12,'Cash on cash'!$B$7*12)-'Cash on cash'!$B$39*((1+'Cash on cash'!$B$6/12)^MIN(A18*12,'Cash on cash'!$B$7*12)-1)/('Cash on cash'!$B$6/12))))</f>
        <v>222056.598603054</v>
      </c>
      <c r="H18" s="13" t="n">
        <f aca="false">G17-G18</f>
        <v>8096.65633589355</v>
      </c>
      <c r="I18" s="16" t="n">
        <f aca="false">IF('Cash on cash'!$B$38&gt;0,(E18+H18)/'Cash on cash'!$B$38,0)</f>
        <v>0.18170907845352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5" min="1" style="0" width="18"/>
  </cols>
  <sheetData>
    <row r="1" customFormat="false" ht="17.35" hidden="false" customHeight="false" outlineLevel="0" collapsed="false">
      <c r="A1" s="1" t="s">
        <v>71</v>
      </c>
    </row>
    <row r="3" customFormat="false" ht="15" hidden="false" customHeight="false" outlineLevel="0" collapsed="false">
      <c r="A3" s="21" t="s">
        <v>50</v>
      </c>
      <c r="B3" s="21" t="s">
        <v>72</v>
      </c>
      <c r="C3" s="21" t="s">
        <v>67</v>
      </c>
      <c r="D3" s="21" t="s">
        <v>14</v>
      </c>
      <c r="E3" s="21" t="s">
        <v>10</v>
      </c>
    </row>
    <row r="4" customFormat="false" ht="15" hidden="false" customHeight="false" outlineLevel="0" collapsed="false">
      <c r="A4" s="22" t="n">
        <v>1</v>
      </c>
      <c r="B4" s="13" t="n">
        <f aca="false">'Cash on cash'!$B$4*A4+'Cash on cash'!$B$4*(1-A4)*'Cash on cash'!$B$8+'Cash on cash'!$B$37+'Cash on cash'!$B$10+'Cash on cash'!$B$11</f>
        <v>430000</v>
      </c>
      <c r="C4" s="13" t="n">
        <f aca="false">IF(A4&gt;=1,0,IF('Cash on cash'!$B$6=0,'Cash on cash'!$B$4*(1-A4)/'Cash on cash'!$B$7,PMT('Cash on cash'!$B$6/12,'Cash on cash'!$B$7*12,-'Cash on cash'!$B$4*(1-A4))*12))</f>
        <v>0</v>
      </c>
      <c r="D4" s="20" t="n">
        <f aca="false">'Cash on cash'!$B$43-C4</f>
        <v>26098.56</v>
      </c>
      <c r="E4" s="16" t="n">
        <f aca="false">IF(B4&gt;0,D4/B4,0)</f>
        <v>0.0606943255813953</v>
      </c>
    </row>
    <row r="5" customFormat="false" ht="15" hidden="false" customHeight="false" outlineLevel="0" collapsed="false">
      <c r="A5" s="22" t="n">
        <v>0.5</v>
      </c>
      <c r="B5" s="13" t="n">
        <f aca="false">'Cash on cash'!$B$4*A5+'Cash on cash'!$B$4*(1-A5)*'Cash on cash'!$B$8+'Cash on cash'!$B$37+'Cash on cash'!$B$10+'Cash on cash'!$B$11</f>
        <v>230000</v>
      </c>
      <c r="C5" s="13" t="n">
        <f aca="false">IF(A5&gt;=1,0,IF('Cash on cash'!$B$6=0,'Cash on cash'!$B$4*(1-A5)/'Cash on cash'!$B$7,PMT('Cash on cash'!$B$6/12,'Cash on cash'!$B$7*12,-'Cash on cash'!$B$4*(1-A5))*12))</f>
        <v>15967.2598843004</v>
      </c>
      <c r="D5" s="20" t="n">
        <f aca="false">'Cash on cash'!$B$43-C5</f>
        <v>10131.3001156996</v>
      </c>
      <c r="E5" s="16" t="n">
        <f aca="false">IF(B5&gt;0,D5/B5,0)</f>
        <v>0.0440491309378243</v>
      </c>
    </row>
    <row r="6" customFormat="false" ht="15" hidden="false" customHeight="false" outlineLevel="0" collapsed="false">
      <c r="A6" s="22" t="n">
        <v>0.35</v>
      </c>
      <c r="B6" s="13" t="n">
        <f aca="false">'Cash on cash'!$B$4*A6+'Cash on cash'!$B$4*(1-A6)*'Cash on cash'!$B$8+'Cash on cash'!$B$37+'Cash on cash'!$B$10+'Cash on cash'!$B$11</f>
        <v>170000</v>
      </c>
      <c r="C6" s="13" t="n">
        <f aca="false">IF(A6&gt;=1,0,IF('Cash on cash'!$B$6=0,'Cash on cash'!$B$4*(1-A6)/'Cash on cash'!$B$7,PMT('Cash on cash'!$B$6/12,'Cash on cash'!$B$7*12,-'Cash on cash'!$B$4*(1-A6))*12))</f>
        <v>20757.4378495905</v>
      </c>
      <c r="D6" s="20" t="n">
        <f aca="false">'Cash on cash'!$B$43-C6</f>
        <v>5341.12215040948</v>
      </c>
      <c r="E6" s="16" t="n">
        <f aca="false">IF(B6&gt;0,D6/B6,0)</f>
        <v>0.031418365590644</v>
      </c>
    </row>
    <row r="7" customFormat="false" ht="15" hidden="false" customHeight="false" outlineLevel="0" collapsed="false">
      <c r="A7" s="22" t="n">
        <v>0.25</v>
      </c>
      <c r="B7" s="13" t="n">
        <f aca="false">'Cash on cash'!$B$4*A7+'Cash on cash'!$B$4*(1-A7)*'Cash on cash'!$B$8+'Cash on cash'!$B$37+'Cash on cash'!$B$10+'Cash on cash'!$B$11</f>
        <v>130000</v>
      </c>
      <c r="C7" s="13" t="n">
        <f aca="false">IF(A7&gt;=1,0,IF('Cash on cash'!$B$6=0,'Cash on cash'!$B$4*(1-A7)/'Cash on cash'!$B$7,PMT('Cash on cash'!$B$6/12,'Cash on cash'!$B$7*12,-'Cash on cash'!$B$4*(1-A7))*12))</f>
        <v>23950.8898264506</v>
      </c>
      <c r="D7" s="20" t="n">
        <f aca="false">'Cash on cash'!$B$43-C7</f>
        <v>2147.6701735494</v>
      </c>
      <c r="E7" s="16" t="n">
        <f aca="false">IF(B7&gt;0,D7/B7,0)</f>
        <v>0.0165205397965338</v>
      </c>
    </row>
    <row r="8" customFormat="false" ht="15" hidden="false" customHeight="false" outlineLevel="0" collapsed="false">
      <c r="A8" s="22" t="n">
        <v>0.2</v>
      </c>
      <c r="B8" s="13" t="n">
        <f aca="false">'Cash on cash'!$B$4*A8+'Cash on cash'!$B$4*(1-A8)*'Cash on cash'!$B$8+'Cash on cash'!$B$37+'Cash on cash'!$B$10+'Cash on cash'!$B$11</f>
        <v>110000</v>
      </c>
      <c r="C8" s="13" t="n">
        <f aca="false">IF(A8&gt;=1,0,IF('Cash on cash'!$B$6=0,'Cash on cash'!$B$4*(1-A8)/'Cash on cash'!$B$7,PMT('Cash on cash'!$B$6/12,'Cash on cash'!$B$7*12,-'Cash on cash'!$B$4*(1-A8))*12))</f>
        <v>25547.6158148806</v>
      </c>
      <c r="D8" s="20" t="n">
        <f aca="false">'Cash on cash'!$B$43-C8</f>
        <v>550.94418511937</v>
      </c>
      <c r="E8" s="16" t="n">
        <f aca="false">IF(B8&gt;0,D8/B8,0)</f>
        <v>0.00500858350108518</v>
      </c>
    </row>
    <row r="9" customFormat="false" ht="15" hidden="false" customHeight="false" outlineLevel="0" collapsed="false">
      <c r="A9" s="22" t="n">
        <v>0.1</v>
      </c>
      <c r="B9" s="13" t="n">
        <f aca="false">'Cash on cash'!$B$4*A9+'Cash on cash'!$B$4*(1-A9)*'Cash on cash'!$B$8+'Cash on cash'!$B$37+'Cash on cash'!$B$10+'Cash on cash'!$B$11</f>
        <v>70000</v>
      </c>
      <c r="C9" s="13" t="n">
        <f aca="false">IF(A9&gt;=1,0,IF('Cash on cash'!$B$6=0,'Cash on cash'!$B$4*(1-A9)/'Cash on cash'!$B$7,PMT('Cash on cash'!$B$6/12,'Cash on cash'!$B$7*12,-'Cash on cash'!$B$4*(1-A9))*12))</f>
        <v>28741.0677917407</v>
      </c>
      <c r="D9" s="20" t="n">
        <f aca="false">'Cash on cash'!$B$43-C9</f>
        <v>-2642.50779174071</v>
      </c>
      <c r="E9" s="16" t="n">
        <f aca="false">IF(B9&gt;0,D9/B9,0)</f>
        <v>-0.0377501113105816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8"/>
  </cols>
  <sheetData>
    <row r="1" customFormat="false" ht="17.35" hidden="false" customHeight="false" outlineLevel="0" collapsed="false">
      <c r="A1" s="1" t="s">
        <v>73</v>
      </c>
    </row>
    <row r="3" customFormat="false" ht="15" hidden="false" customHeight="false" outlineLevel="0" collapsed="false">
      <c r="A3" s="8" t="s">
        <v>74</v>
      </c>
      <c r="B3" s="23" t="n">
        <f aca="false">'Cash on cash'!B29</f>
        <v>10</v>
      </c>
    </row>
    <row r="4" customFormat="false" ht="15" hidden="false" customHeight="false" outlineLevel="0" collapsed="false">
      <c r="A4" s="8" t="s">
        <v>75</v>
      </c>
      <c r="B4" s="13" t="n">
        <f aca="false">'Cash on cash'!B4*(1+'Cash on cash'!B28)^B3</f>
        <v>537566.551737649</v>
      </c>
    </row>
    <row r="5" customFormat="false" ht="15" hidden="false" customHeight="false" outlineLevel="0" collapsed="false">
      <c r="A5" s="8" t="s">
        <v>76</v>
      </c>
      <c r="B5" s="13" t="n">
        <f aca="false">B4*'Cash on cash'!B30</f>
        <v>32253.9931042589</v>
      </c>
    </row>
    <row r="6" customFormat="false" ht="15" hidden="false" customHeight="false" outlineLevel="0" collapsed="false">
      <c r="A6" s="8" t="s">
        <v>77</v>
      </c>
      <c r="B6" s="13" t="n">
        <f aca="false">INDEX(Projection!G4:G18,B3)</f>
        <v>257437.150219268</v>
      </c>
    </row>
    <row r="7" customFormat="false" ht="15" hidden="false" customHeight="false" outlineLevel="0" collapsed="false">
      <c r="A7" s="8" t="s">
        <v>78</v>
      </c>
      <c r="B7" s="13" t="n">
        <f aca="false">B4-B5-B6</f>
        <v>247875.408414122</v>
      </c>
    </row>
    <row r="8" customFormat="false" ht="15" hidden="false" customHeight="false" outlineLevel="0" collapsed="false">
      <c r="A8" s="8" t="s">
        <v>79</v>
      </c>
      <c r="B8" s="13" t="n">
        <f aca="false">SUMIF(Projection!A4:A18,"&lt;="&amp;B3,Projection!E4:E18)</f>
        <v>59681.8437786716</v>
      </c>
    </row>
    <row r="9" customFormat="false" ht="15" hidden="false" customHeight="false" outlineLevel="0" collapsed="false">
      <c r="A9" s="8" t="s">
        <v>80</v>
      </c>
      <c r="B9" s="13" t="n">
        <f aca="false">B7+B8</f>
        <v>307557.252192794</v>
      </c>
    </row>
    <row r="10" customFormat="false" ht="15" hidden="false" customHeight="false" outlineLevel="0" collapsed="false">
      <c r="A10" s="5" t="s">
        <v>81</v>
      </c>
      <c r="B10" s="24" t="n">
        <f aca="false">IF('Cash on cash'!B38&gt;0,B9/'Cash on cash'!B38,0)</f>
        <v>2.36582501686764</v>
      </c>
    </row>
    <row r="11" customFormat="false" ht="15" hidden="false" customHeight="false" outlineLevel="0" collapsed="false">
      <c r="A11" s="5" t="s">
        <v>82</v>
      </c>
      <c r="B11" s="17" t="n">
        <f aca="false">IRR(B15:B30)</f>
        <v>0.0981581466306248</v>
      </c>
    </row>
    <row r="13" customFormat="false" ht="15" hidden="false" customHeight="false" outlineLevel="0" collapsed="false">
      <c r="A13" s="3" t="s">
        <v>83</v>
      </c>
    </row>
    <row r="14" customFormat="false" ht="15" hidden="false" customHeight="false" outlineLevel="0" collapsed="false">
      <c r="A14" s="5" t="s">
        <v>66</v>
      </c>
      <c r="B14" s="5" t="s">
        <v>14</v>
      </c>
    </row>
    <row r="15" customFormat="false" ht="15" hidden="false" customHeight="false" outlineLevel="0" collapsed="false">
      <c r="A15" s="0" t="n">
        <v>0</v>
      </c>
      <c r="B15" s="25" t="n">
        <f aca="false">-'Cash on cash'!B38</f>
        <v>-130000</v>
      </c>
    </row>
    <row r="16" customFormat="false" ht="15" hidden="false" customHeight="false" outlineLevel="0" collapsed="false">
      <c r="A16" s="0" t="n">
        <v>1</v>
      </c>
      <c r="B16" s="25" t="n">
        <f aca="false">IF(A16&lt;$B$3,INDEX(Projection!E4:E18,A16),IF(A16=$B$3,INDEX(Projection!E4:E18,A16)+$B$7,0))</f>
        <v>2147.6701735494</v>
      </c>
    </row>
    <row r="17" customFormat="false" ht="15" hidden="false" customHeight="false" outlineLevel="0" collapsed="false">
      <c r="A17" s="0" t="n">
        <v>2</v>
      </c>
      <c r="B17" s="25" t="n">
        <f aca="false">IF(A17&lt;$B$3,INDEX(Projection!E4:E18,A17),IF(A17=$B$3,INDEX(Projection!E4:E18,A17)+$B$7,0))</f>
        <v>2930.6269735494</v>
      </c>
    </row>
    <row r="18" customFormat="false" ht="15" hidden="false" customHeight="false" outlineLevel="0" collapsed="false">
      <c r="A18" s="0" t="n">
        <v>3</v>
      </c>
      <c r="B18" s="25" t="n">
        <f aca="false">IF(A18&lt;$B$3,INDEX(Projection!E4:E18,A18),IF(A18=$B$3,INDEX(Projection!E4:E18,A18)+$B$7,0))</f>
        <v>3737.0724775494</v>
      </c>
    </row>
    <row r="19" customFormat="false" ht="15" hidden="false" customHeight="false" outlineLevel="0" collapsed="false">
      <c r="A19" s="0" t="n">
        <v>4</v>
      </c>
      <c r="B19" s="25" t="n">
        <f aca="false">IF(A19&lt;$B$3,INDEX(Projection!E4:E18,A19),IF(A19=$B$3,INDEX(Projection!E4:E18,A19)+$B$7,0))</f>
        <v>4567.7113466694</v>
      </c>
    </row>
    <row r="20" customFormat="false" ht="15" hidden="false" customHeight="false" outlineLevel="0" collapsed="false">
      <c r="A20" s="0" t="n">
        <v>5</v>
      </c>
      <c r="B20" s="25" t="n">
        <f aca="false">IF(A20&lt;$B$3,INDEX(Projection!E4:E18,A20),IF(A20=$B$3,INDEX(Projection!E4:E18,A20)+$B$7,0))</f>
        <v>5423.269381863</v>
      </c>
    </row>
    <row r="21" customFormat="false" ht="15" hidden="false" customHeight="false" outlineLevel="0" collapsed="false">
      <c r="A21" s="0" t="n">
        <v>6</v>
      </c>
      <c r="B21" s="25" t="n">
        <f aca="false">IF(A21&lt;$B$3,INDEX(Projection!E4:E18,A21),IF(A21=$B$3,INDEX(Projection!E4:E18,A21)+$B$7,0))</f>
        <v>6304.49415811241</v>
      </c>
    </row>
    <row r="22" customFormat="false" ht="15" hidden="false" customHeight="false" outlineLevel="0" collapsed="false">
      <c r="A22" s="0" t="n">
        <v>7</v>
      </c>
      <c r="B22" s="25" t="n">
        <f aca="false">IF(A22&lt;$B$3,INDEX(Projection!E4:E18,A22),IF(A22=$B$3,INDEX(Projection!E4:E18,A22)+$B$7,0))</f>
        <v>7212.15567764929</v>
      </c>
    </row>
    <row r="23" customFormat="false" ht="15" hidden="false" customHeight="false" outlineLevel="0" collapsed="false">
      <c r="A23" s="0" t="n">
        <v>8</v>
      </c>
      <c r="B23" s="25" t="n">
        <f aca="false">IF(A23&lt;$B$3,INDEX(Projection!E4:E18,A23),IF(A23=$B$3,INDEX(Projection!E4:E18,A23)+$B$7,0))</f>
        <v>8147.0470427723</v>
      </c>
    </row>
    <row r="24" customFormat="false" ht="15" hidden="false" customHeight="false" outlineLevel="0" collapsed="false">
      <c r="A24" s="0" t="n">
        <v>9</v>
      </c>
      <c r="B24" s="25" t="n">
        <f aca="false">IF(A24&lt;$B$3,INDEX(Projection!E4:E18,A24),IF(A24=$B$3,INDEX(Projection!E4:E18,A24)+$B$7,0))</f>
        <v>9109.98514884898</v>
      </c>
    </row>
    <row r="25" customFormat="false" ht="15" hidden="false" customHeight="false" outlineLevel="0" collapsed="false">
      <c r="A25" s="0" t="n">
        <v>10</v>
      </c>
      <c r="B25" s="25" t="n">
        <f aca="false">IF(A25&lt;$B$3,INDEX(Projection!E4:E18,A25),IF(A25=$B$3,INDEX(Projection!E4:E18,A25)+$B$7,0))</f>
        <v>257977.21981223</v>
      </c>
    </row>
    <row r="26" customFormat="false" ht="15" hidden="false" customHeight="false" outlineLevel="0" collapsed="false">
      <c r="A26" s="0" t="n">
        <v>11</v>
      </c>
      <c r="B26" s="25" t="n">
        <f aca="false">IF(A26&lt;$B$3,INDEX(Projection!E4:E18,A26),IF(A26=$B$3,INDEX(Projection!E4:E18,A26)+$B$7,0))</f>
        <v>0</v>
      </c>
    </row>
    <row r="27" customFormat="false" ht="15" hidden="false" customHeight="false" outlineLevel="0" collapsed="false">
      <c r="A27" s="0" t="n">
        <v>12</v>
      </c>
      <c r="B27" s="25" t="n">
        <f aca="false">IF(A27&lt;$B$3,INDEX(Projection!E4:E18,A27),IF(A27=$B$3,INDEX(Projection!E4:E18,A27)+$B$7,0))</f>
        <v>0</v>
      </c>
    </row>
    <row r="28" customFormat="false" ht="15" hidden="false" customHeight="false" outlineLevel="0" collapsed="false">
      <c r="A28" s="0" t="n">
        <v>13</v>
      </c>
      <c r="B28" s="25" t="n">
        <f aca="false">IF(A28&lt;$B$3,INDEX(Projection!E4:E18,A28),IF(A28=$B$3,INDEX(Projection!E4:E18,A28)+$B$7,0))</f>
        <v>0</v>
      </c>
    </row>
    <row r="29" customFormat="false" ht="15" hidden="false" customHeight="false" outlineLevel="0" collapsed="false">
      <c r="A29" s="0" t="n">
        <v>14</v>
      </c>
      <c r="B29" s="25" t="n">
        <f aca="false">IF(A29&lt;$B$3,INDEX(Projection!E4:E18,A29),IF(A29=$B$3,INDEX(Projection!E4:E18,A29)+$B$7,0))</f>
        <v>0</v>
      </c>
    </row>
    <row r="30" customFormat="false" ht="15" hidden="false" customHeight="false" outlineLevel="0" collapsed="false">
      <c r="A30" s="0" t="n">
        <v>15</v>
      </c>
      <c r="B30" s="25" t="n">
        <f aca="false">IF(A30&lt;$B$3,INDEX(Projection!E4:E18,A30),IF(A30=$B$3,INDEX(Projection!E4:E18,A30)+$B$7,0))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2026-09-20T21:25:58Z</dcterms:created>
  <dc:creator>openpyxl</dc:creator>
  <dc:description/>
  <dc:language>en-US</dc:language>
  <cp:lastModifiedBy/>
  <dcterms:modified xsi:type="dcterms:W3CDTF">2026-09-20T21:25:58Z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