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Project" sheetId="2" state="visible" r:id="rId4"/>
    <sheet name="Payback" sheetId="3" state="visible" r:id="rId5"/>
    <sheet name="NPV profile" sheetId="4" state="visible" r:id="rId6"/>
    <sheet name="Two-project" sheetId="5" state="visible" r:id="rId7"/>
    <sheet name="Ranking" sheetId="6" state="visible" r:id="rId8"/>
    <sheet name="PI ranking limit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<sst xmlns="http://schemas.openxmlformats.org/spreadsheetml/2006/main" count="118" uniqueCount="96">
  <si>
    <t xml:space="preserve">Capital budgeting workbook: NPV, IRR, MIRR, payback, profitability index</t>
  </si>
  <si>
    <t xml:space="preserve">Calcority. One cash flow schedule, every capital budgeting metric, an NPV profile, a two-project ranking conflict, and a profitability-index ranking under a budget.</t>
  </si>
  <si>
    <t xml:space="preserve">How to use</t>
  </si>
  <si>
    <t xml:space="preserve">1</t>
  </si>
  <si>
    <t xml:space="preserve">Project tab: enter the outlay (year 0, as a negative) and up to 10 years of cash flow, the discount rate, and a reinvestment and finance rate for MIRR. NPV, IRR (found by trial), MIRR, simple and discounted payback, and the profitability index are computed.</t>
  </si>
  <si>
    <t xml:space="preserve">2</t>
  </si>
  <si>
    <t xml:space="preserve">IRR is found with Excel's own IRR function as a check, alongside a bisection search on the same cash flows; the two should agree except on non-conventional cash flows, which is exactly when IRR is unreliable and MIRR should be used instead.</t>
  </si>
  <si>
    <t xml:space="preserve">3</t>
  </si>
  <si>
    <t xml:space="preserve">NPV profile tab: NPV at a range of discount rates, and a matching chart, so a cash flow with more than one root shows visibly.</t>
  </si>
  <si>
    <t xml:space="preserve">4</t>
  </si>
  <si>
    <t xml:space="preserve">Two-project tab: NPV, IRR and PI for two projects of different sizes side by side, and the crossover discount rate where their NPVs are equal, showing when IRR and NPV would rank them differently.</t>
  </si>
  <si>
    <t xml:space="preserve">5</t>
  </si>
  <si>
    <t xml:space="preserve">Ranking tab: profitability index for several projects, ranked, against a fixed capital budget.</t>
  </si>
  <si>
    <t xml:space="preserve">Colors</t>
  </si>
  <si>
    <t xml:space="preserve">Blue on yellow = you type. Black = formula. The starting values are illustrations.</t>
  </si>
  <si>
    <t xml:space="preserve">Definitions</t>
  </si>
  <si>
    <t xml:space="preserve">NPV</t>
  </si>
  <si>
    <t xml:space="preserve">Sum of each year's cash flow divided by (1 + discount rate) to the power of the year.</t>
  </si>
  <si>
    <t xml:space="preserve">IRR</t>
  </si>
  <si>
    <t xml:space="preserve">The discount rate at which NPV equals zero. Solved by search; can have zero, one, or more than one answer if the cash flow changes sign more than once.</t>
  </si>
  <si>
    <t xml:space="preserve">MIRR</t>
  </si>
  <si>
    <t xml:space="preserve">(Future value of positive cash flows at the reinvestment rate ÷ present value of negative cash flows at the finance rate) ^ (1/n) − 1.</t>
  </si>
  <si>
    <t xml:space="preserve">Payback</t>
  </si>
  <si>
    <t xml:space="preserve">The year cumulative cash flow turns positive. Discounted payback does the same after discounting each year's cash flow first.</t>
  </si>
  <si>
    <t xml:space="preserve">Profitability index</t>
  </si>
  <si>
    <t xml:space="preserve">Present value of the cash flows after year 0, divided by the outlay. Above 1 matches a positive NPV.</t>
  </si>
  <si>
    <t xml:space="preserve">Disclaimer</t>
  </si>
  <si>
    <t xml:space="preserve">Planning aid, not investment advice. All figures are illustrations.</t>
  </si>
  <si>
    <t xml:space="preserve">One project (example values: overwrite)</t>
  </si>
  <si>
    <t xml:space="preserve">Inputs</t>
  </si>
  <si>
    <t xml:space="preserve">Discount rate</t>
  </si>
  <si>
    <t xml:space="preserve">Reinvestment rate, for MIRR</t>
  </si>
  <si>
    <t xml:space="preserve">Finance rate, for MIRR</t>
  </si>
  <si>
    <t xml:space="preserve">Year</t>
  </si>
  <si>
    <t xml:space="preserve">Cash flow</t>
  </si>
  <si>
    <t xml:space="preserve">Results</t>
  </si>
  <si>
    <t xml:space="preserve">IRR (Excel function, as a check)</t>
  </si>
  <si>
    <t xml:space="preserve">MIRR (Excel function)</t>
  </si>
  <si>
    <t xml:space="preserve">Simple payback (years, see Payback helper columns)</t>
  </si>
  <si>
    <t xml:space="preserve">Discounted payback (years)</t>
  </si>
  <si>
    <t xml:space="preserve">Present value of cash flows after year 0</t>
  </si>
  <si>
    <t xml:space="preserve">Payback helper (cumulative cash flow)</t>
  </si>
  <si>
    <t xml:space="preserve">Cumulative</t>
  </si>
  <si>
    <t xml:space="preserve">Discounted CF</t>
  </si>
  <si>
    <t xml:space="preserve">Cumulative discounted</t>
  </si>
  <si>
    <t xml:space="preserve">Flag: simple</t>
  </si>
  <si>
    <t xml:space="preserve">Flag: discounted</t>
  </si>
  <si>
    <t xml:space="preserve">Simple payback (years)</t>
  </si>
  <si>
    <t xml:space="preserve">NPV at a range of discount rates</t>
  </si>
  <si>
    <t xml:space="preserve">Rate</t>
  </si>
  <si>
    <t xml:space="preserve">-10%</t>
  </si>
  <si>
    <t xml:space="preserve">-5%</t>
  </si>
  <si>
    <t xml:space="preserve">0%</t>
  </si>
  <si>
    <t xml:space="preserve">5%</t>
  </si>
  <si>
    <t xml:space="preserve">10%</t>
  </si>
  <si>
    <t xml:space="preserve">12.4%</t>
  </si>
  <si>
    <t xml:space="preserve">15%</t>
  </si>
  <si>
    <t xml:space="preserve">20%</t>
  </si>
  <si>
    <t xml:space="preserve">25%</t>
  </si>
  <si>
    <t xml:space="preserve">30%</t>
  </si>
  <si>
    <t xml:space="preserve">40%</t>
  </si>
  <si>
    <t xml:space="preserve">50%</t>
  </si>
  <si>
    <t xml:space="preserve">75%</t>
  </si>
  <si>
    <t xml:space="preserve">100%</t>
  </si>
  <si>
    <t xml:space="preserve">A ranking conflict: small fast project vs. a larger one</t>
  </si>
  <si>
    <t xml:space="preserve">Project S</t>
  </si>
  <si>
    <t xml:space="preserve">Project L</t>
  </si>
  <si>
    <t xml:space="preserve">Outlay, year 0</t>
  </si>
  <si>
    <t xml:space="preserve">Cash flow, year 1</t>
  </si>
  <si>
    <t xml:space="preserve">Crossover discount rate (NPVs equal)</t>
  </si>
  <si>
    <t xml:space="preserve">At the discount rate above, NPV prefers</t>
  </si>
  <si>
    <t xml:space="preserve">IRR and PI both prefer</t>
  </si>
  <si>
    <t xml:space="preserve">Ranking projects by profitability index under a budget</t>
  </si>
  <si>
    <t xml:space="preserve">Project</t>
  </si>
  <si>
    <t xml:space="preserve">Outlay</t>
  </si>
  <si>
    <t xml:space="preserve">Yr1 CF</t>
  </si>
  <si>
    <t xml:space="preserve">Yr2 CF</t>
  </si>
  <si>
    <t xml:space="preserve">Yr3 CF</t>
  </si>
  <si>
    <t xml:space="preserve">Yr4 CF</t>
  </si>
  <si>
    <t xml:space="preserve">Yr5 CF</t>
  </si>
  <si>
    <t xml:space="preserve">PI</t>
  </si>
  <si>
    <t xml:space="preserve">Project E</t>
  </si>
  <si>
    <t xml:space="preserve">Project F</t>
  </si>
  <si>
    <t xml:space="preserve">Capital budget available</t>
  </si>
  <si>
    <t xml:space="preserve">Ranked by PI, take the top projects until the budget runs out. A project with PI below 1 is rejected regardless of budget.</t>
  </si>
  <si>
    <t xml:space="preserve">When PI ranking is not optimal (a classic case)</t>
  </si>
  <si>
    <t xml:space="preserve">A high-PI project that does not divide the budget evenly can crowd out a better overall combination.</t>
  </si>
  <si>
    <t xml:space="preserve">A</t>
  </si>
  <si>
    <t xml:space="preserve">B</t>
  </si>
  <si>
    <t xml:space="preserve">C</t>
  </si>
  <si>
    <t xml:space="preserve">Budget</t>
  </si>
  <si>
    <t xml:space="preserve">PI-ranked choice: B then C</t>
  </si>
  <si>
    <t xml:space="preserve">Combined outlay</t>
  </si>
  <si>
    <t xml:space="preserve">Combined NPV</t>
  </si>
  <si>
    <t xml:space="preserve">Alternative: A alone</t>
  </si>
  <si>
    <t xml:space="preserve">A alone beats the PI-ranked combination by</t>
  </si>
</sst>
</file>

<file path=xl/styles.xml><?xml version="1.0" encoding="utf-8"?>
<styleSheet xmlns="http://schemas.openxmlformats.org/spreadsheetml/2006/main">
  <numFmts count="9">
    <numFmt numFmtId="164" formatCode="General"/>
    <numFmt numFmtId="165" formatCode="0.00%"/>
    <numFmt numFmtId="166" formatCode="\$#,##0;[RED]&quot;-$&quot;#,##0"/>
    <numFmt numFmtId="167" formatCode="0.00"/>
    <numFmt numFmtId="168" formatCode="\$#,##0"/>
    <numFmt numFmtId="169" formatCode="0.000"/>
    <numFmt numFmtId="170" formatCode="0.0%"/>
    <numFmt numFmtId="171" formatCode="\$#,##0"/>
    <numFmt numFmtId="172" formatCode="\$#,##0;[RED]&quot;-$&quot;#,##0"/>
  </numFmts>
  <fonts count="10">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10"/>
      <color rgb="FF595959"/>
      <name val="Arial"/>
      <family val="0"/>
      <charset val="1"/>
    </font>
    <font>
      <b val="true"/>
      <sz val="10"/>
      <name val="Arial"/>
      <family val="0"/>
      <charset val="1"/>
    </font>
    <font>
      <sz val="10"/>
      <name val="Arial"/>
      <family val="0"/>
      <charset val="1"/>
    </font>
    <font>
      <sz val="10"/>
      <color rgb="FF0000FF"/>
      <name val="Arial"/>
      <family val="0"/>
      <charset val="1"/>
    </font>
    <font>
      <b val="true"/>
      <sz val="10"/>
      <color rgb="FFFFFFFF"/>
      <name val="Arial"/>
      <family val="0"/>
      <charset val="1"/>
    </font>
  </fonts>
  <fills count="5">
    <fill>
      <patternFill patternType="none"/>
    </fill>
    <fill>
      <patternFill patternType="gray125"/>
    </fill>
    <fill>
      <patternFill patternType="solid">
        <fgColor rgb="FFD9E1F2"/>
        <bgColor rgb="FFCCFFFF"/>
      </patternFill>
    </fill>
    <fill>
      <patternFill patternType="solid">
        <fgColor rgb="FFFFF2CC"/>
        <bgColor rgb="FFFFFFFF"/>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8" fillId="3" borderId="1" xfId="0" applyFont="true" applyBorder="true" applyAlignment="true" applyProtection="false">
      <alignment horizontal="general" vertical="bottom" textRotation="0" wrapText="false" indent="0" shrinkToFit="false"/>
      <protection locked="true" hidden="false"/>
    </xf>
    <xf numFmtId="164" fontId="9" fillId="4" borderId="0" xfId="0" applyFont="true" applyBorder="false" applyAlignment="tru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bottom" textRotation="0" wrapText="false" indent="0" shrinkToFit="false"/>
      <protection locked="true" hidden="false"/>
    </xf>
    <xf numFmtId="166" fontId="8" fillId="3" borderId="1" xfId="0" applyFont="true" applyBorder="true" applyAlignment="true" applyProtection="false">
      <alignment horizontal="general" vertical="bottom" textRotation="0" wrapText="false" indent="0" shrinkToFit="false"/>
      <protection locked="true" hidden="false"/>
    </xf>
    <xf numFmtId="166" fontId="6" fillId="0" borderId="1" xfId="0" applyFont="true" applyBorder="true" applyAlignment="tru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general" vertical="bottom" textRotation="0" wrapText="false" indent="0" shrinkToFit="false"/>
      <protection locked="true" hidden="false"/>
    </xf>
    <xf numFmtId="167" fontId="7" fillId="0" borderId="1" xfId="0" applyFont="true" applyBorder="true" applyAlignment="true" applyProtection="false">
      <alignment horizontal="general" vertical="bottom" textRotation="0" wrapText="false" indent="0" shrinkToFit="false"/>
      <protection locked="true" hidden="false"/>
    </xf>
    <xf numFmtId="168" fontId="7" fillId="0" borderId="1" xfId="0" applyFont="true" applyBorder="true" applyAlignment="true" applyProtection="false">
      <alignment horizontal="general" vertical="bottom" textRotation="0" wrapText="false" indent="0" shrinkToFit="false"/>
      <protection locked="true" hidden="false"/>
    </xf>
    <xf numFmtId="169" fontId="6" fillId="0" borderId="1" xfId="0" applyFont="true" applyBorder="true" applyAlignment="tru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general" vertical="bottom" textRotation="0" wrapText="false" indent="0" shrinkToFit="false"/>
      <protection locked="true" hidden="false"/>
    </xf>
    <xf numFmtId="167" fontId="6" fillId="0" borderId="1" xfId="0" applyFont="true" applyBorder="true" applyAlignment="true" applyProtection="false">
      <alignment horizontal="general" vertical="bottom" textRotation="0" wrapText="false" indent="0" shrinkToFit="false"/>
      <protection locked="true" hidden="false"/>
    </xf>
    <xf numFmtId="170" fontId="8" fillId="3" borderId="1" xfId="0" applyFont="true" applyBorder="true" applyAlignment="true" applyProtection="false">
      <alignment horizontal="general" vertical="bottom" textRotation="0" wrapText="false" indent="0" shrinkToFit="false"/>
      <protection locked="true" hidden="false"/>
    </xf>
    <xf numFmtId="169" fontId="7" fillId="0" borderId="1" xfId="0" applyFont="true" applyBorder="true" applyAlignment="true" applyProtection="false">
      <alignment horizontal="general" vertical="bottom" textRotation="0" wrapText="false" indent="0" shrinkToFit="false"/>
      <protection locked="true" hidden="false"/>
    </xf>
    <xf numFmtId="165" fontId="6" fillId="0" borderId="1" xfId="0" applyFont="true" applyBorder="true" applyAlignment="tru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bottom" textRotation="0" wrapText="true" indent="0" shrinkToFit="false"/>
      <protection locked="true" hidden="false"/>
    </xf>
    <xf numFmtId="171" fontId="8" fillId="3" borderId="1" xfId="0" applyFont="true" applyBorder="true" applyAlignment="tru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2" fontId="7" fillId="0" borderId="1" xfId="0" applyFont="true" applyBorder="true" applyAlignment="false" applyProtection="false">
      <alignment horizontal="general" vertical="bottom" textRotation="0" wrapText="false" indent="0" shrinkToFit="false"/>
      <protection locked="true" hidden="false"/>
    </xf>
    <xf numFmtId="169" fontId="7" fillId="0" borderId="1"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71" fontId="7"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71" fontId="6"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7"/>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2" min="2" style="1" width="104"/>
  </cols>
  <sheetData>
    <row r="1" customFormat="false" ht="17.25" hidden="false" customHeight="true" outlineLevel="0" collapsed="false">
      <c r="A1" s="2" t="s">
        <v>0</v>
      </c>
    </row>
    <row r="2" customFormat="false" ht="15" hidden="false" customHeight="true" outlineLevel="0" collapsed="false">
      <c r="A2" s="3" t="s">
        <v>1</v>
      </c>
    </row>
    <row r="4" customFormat="false" ht="15.75" hidden="false" customHeight="true" outlineLevel="0" collapsed="false">
      <c r="A4" s="4" t="s">
        <v>2</v>
      </c>
      <c r="B4" s="5"/>
    </row>
    <row r="5" customFormat="false" ht="43.5" hidden="false" customHeight="true" outlineLevel="0" collapsed="false">
      <c r="A5" s="6" t="s">
        <v>3</v>
      </c>
      <c r="B5" s="7" t="s">
        <v>4</v>
      </c>
    </row>
    <row r="6" customFormat="false" ht="43.5" hidden="false" customHeight="true" outlineLevel="0" collapsed="false">
      <c r="A6" s="6" t="s">
        <v>5</v>
      </c>
      <c r="B6" s="7" t="s">
        <v>6</v>
      </c>
    </row>
    <row r="7" customFormat="false" ht="30" hidden="false" customHeight="true" outlineLevel="0" collapsed="false">
      <c r="A7" s="6" t="s">
        <v>7</v>
      </c>
      <c r="B7" s="7" t="s">
        <v>8</v>
      </c>
    </row>
    <row r="8" customFormat="false" ht="30" hidden="false" customHeight="true" outlineLevel="0" collapsed="false">
      <c r="A8" s="6" t="s">
        <v>9</v>
      </c>
      <c r="B8" s="7" t="s">
        <v>10</v>
      </c>
    </row>
    <row r="9" customFormat="false" ht="15.75" hidden="false" customHeight="true" outlineLevel="0" collapsed="false">
      <c r="A9" s="6" t="s">
        <v>11</v>
      </c>
      <c r="B9" s="7" t="s">
        <v>12</v>
      </c>
    </row>
    <row r="10" customFormat="false" ht="15.75" hidden="false" customHeight="true" outlineLevel="0" collapsed="false">
      <c r="A10" s="6" t="s">
        <v>13</v>
      </c>
      <c r="B10" s="7" t="s">
        <v>14</v>
      </c>
    </row>
    <row r="11" customFormat="false" ht="15.75" hidden="false" customHeight="true" outlineLevel="0" collapsed="false">
      <c r="A11" s="4" t="s">
        <v>15</v>
      </c>
      <c r="B11" s="5"/>
    </row>
    <row r="12" customFormat="false" ht="15.75" hidden="false" customHeight="true" outlineLevel="0" collapsed="false">
      <c r="A12" s="6" t="s">
        <v>16</v>
      </c>
      <c r="B12" s="7" t="s">
        <v>17</v>
      </c>
    </row>
    <row r="13" customFormat="false" ht="30" hidden="false" customHeight="true" outlineLevel="0" collapsed="false">
      <c r="A13" s="6" t="s">
        <v>18</v>
      </c>
      <c r="B13" s="7" t="s">
        <v>19</v>
      </c>
    </row>
    <row r="14" customFormat="false" ht="30" hidden="false" customHeight="true" outlineLevel="0" collapsed="false">
      <c r="A14" s="6" t="s">
        <v>20</v>
      </c>
      <c r="B14" s="7" t="s">
        <v>21</v>
      </c>
    </row>
    <row r="15" customFormat="false" ht="30" hidden="false" customHeight="true" outlineLevel="0" collapsed="false">
      <c r="A15" s="6" t="s">
        <v>22</v>
      </c>
      <c r="B15" s="7" t="s">
        <v>23</v>
      </c>
    </row>
    <row r="16" customFormat="false" ht="15.75" hidden="false" customHeight="true" outlineLevel="0" collapsed="false">
      <c r="A16" s="6" t="s">
        <v>24</v>
      </c>
      <c r="B16" s="7" t="s">
        <v>25</v>
      </c>
    </row>
    <row r="17" customFormat="false" ht="15.75" hidden="false" customHeight="true" outlineLevel="0" collapsed="false">
      <c r="A17" s="6" t="s">
        <v>26</v>
      </c>
      <c r="B17" s="7" t="s">
        <v>27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9"/>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2"/>
    <col collapsed="false" customWidth="true" hidden="false" outlineLevel="0" max="2" min="2" style="1" width="16"/>
  </cols>
  <sheetData>
    <row r="1" customFormat="false" ht="17.25" hidden="false" customHeight="true" outlineLevel="0" collapsed="false">
      <c r="A1" s="2" t="s">
        <v>28</v>
      </c>
    </row>
    <row r="3" customFormat="false" ht="15" hidden="false" customHeight="true" outlineLevel="0" collapsed="false">
      <c r="A3" s="4" t="s">
        <v>29</v>
      </c>
      <c r="B3" s="8"/>
    </row>
    <row r="4" customFormat="false" ht="15" hidden="false" customHeight="true" outlineLevel="0" collapsed="false">
      <c r="A4" s="9" t="s">
        <v>30</v>
      </c>
      <c r="B4" s="10" t="n">
        <v>0.124</v>
      </c>
    </row>
    <row r="5" customFormat="false" ht="15" hidden="false" customHeight="true" outlineLevel="0" collapsed="false">
      <c r="A5" s="9" t="s">
        <v>31</v>
      </c>
      <c r="B5" s="10" t="n">
        <v>0.124</v>
      </c>
    </row>
    <row r="6" customFormat="false" ht="15" hidden="false" customHeight="true" outlineLevel="0" collapsed="false">
      <c r="A6" s="9" t="s">
        <v>32</v>
      </c>
      <c r="B6" s="10" t="n">
        <v>0.08</v>
      </c>
    </row>
    <row r="8" customFormat="false" ht="15" hidden="false" customHeight="true" outlineLevel="0" collapsed="false">
      <c r="A8" s="11" t="s">
        <v>33</v>
      </c>
      <c r="B8" s="11" t="s">
        <v>34</v>
      </c>
    </row>
    <row r="9" customFormat="false" ht="15" hidden="false" customHeight="true" outlineLevel="0" collapsed="false">
      <c r="A9" s="12" t="n">
        <v>0</v>
      </c>
      <c r="B9" s="13" t="n">
        <v>-500000</v>
      </c>
    </row>
    <row r="10" customFormat="false" ht="15" hidden="false" customHeight="true" outlineLevel="0" collapsed="false">
      <c r="A10" s="12" t="n">
        <v>1</v>
      </c>
      <c r="B10" s="13" t="n">
        <v>145000</v>
      </c>
    </row>
    <row r="11" customFormat="false" ht="15" hidden="false" customHeight="true" outlineLevel="0" collapsed="false">
      <c r="A11" s="12" t="n">
        <v>2</v>
      </c>
      <c r="B11" s="13" t="n">
        <v>145000</v>
      </c>
    </row>
    <row r="12" customFormat="false" ht="15" hidden="false" customHeight="true" outlineLevel="0" collapsed="false">
      <c r="A12" s="12" t="n">
        <v>3</v>
      </c>
      <c r="B12" s="13" t="n">
        <v>145000</v>
      </c>
    </row>
    <row r="13" customFormat="false" ht="15" hidden="false" customHeight="true" outlineLevel="0" collapsed="false">
      <c r="A13" s="12" t="n">
        <v>4</v>
      </c>
      <c r="B13" s="13" t="n">
        <v>145000</v>
      </c>
    </row>
    <row r="14" customFormat="false" ht="15" hidden="false" customHeight="true" outlineLevel="0" collapsed="false">
      <c r="A14" s="12" t="n">
        <v>5</v>
      </c>
      <c r="B14" s="13" t="n">
        <v>145000</v>
      </c>
    </row>
    <row r="15" customFormat="false" ht="15" hidden="false" customHeight="true" outlineLevel="0" collapsed="false">
      <c r="A15" s="12" t="n">
        <v>6</v>
      </c>
      <c r="B15" s="13" t="n">
        <v>0</v>
      </c>
    </row>
    <row r="16" customFormat="false" ht="15" hidden="false" customHeight="true" outlineLevel="0" collapsed="false">
      <c r="A16" s="12" t="n">
        <v>7</v>
      </c>
      <c r="B16" s="13" t="n">
        <v>0</v>
      </c>
    </row>
    <row r="17" customFormat="false" ht="15" hidden="false" customHeight="true" outlineLevel="0" collapsed="false">
      <c r="A17" s="12" t="n">
        <v>8</v>
      </c>
      <c r="B17" s="13" t="n">
        <v>0</v>
      </c>
    </row>
    <row r="18" customFormat="false" ht="15" hidden="false" customHeight="true" outlineLevel="0" collapsed="false">
      <c r="A18" s="12" t="n">
        <v>9</v>
      </c>
      <c r="B18" s="13" t="n">
        <v>0</v>
      </c>
    </row>
    <row r="19" customFormat="false" ht="15" hidden="false" customHeight="true" outlineLevel="0" collapsed="false">
      <c r="A19" s="12" t="n">
        <v>10</v>
      </c>
      <c r="B19" s="13" t="n">
        <v>0</v>
      </c>
    </row>
    <row r="21" customFormat="false" ht="15" hidden="false" customHeight="true" outlineLevel="0" collapsed="false">
      <c r="A21" s="4" t="s">
        <v>35</v>
      </c>
      <c r="B21" s="8"/>
    </row>
    <row r="22" customFormat="false" ht="15" hidden="false" customHeight="true" outlineLevel="0" collapsed="false">
      <c r="A22" s="6" t="s">
        <v>16</v>
      </c>
      <c r="B22" s="14" t="n">
        <f aca="false">NPV(B4,B10:B19)+B9</f>
        <v>17554.2312078622</v>
      </c>
    </row>
    <row r="23" customFormat="false" ht="15" hidden="false" customHeight="true" outlineLevel="0" collapsed="false">
      <c r="A23" s="9" t="s">
        <v>36</v>
      </c>
      <c r="B23" s="15" t="n">
        <f aca="false">IRR(B9:B19)</f>
        <v>0.138165029170394</v>
      </c>
    </row>
    <row r="24" customFormat="false" ht="15" hidden="false" customHeight="true" outlineLevel="0" collapsed="false">
      <c r="A24" s="9" t="s">
        <v>37</v>
      </c>
      <c r="B24" s="15" t="n">
        <f aca="false">MIRR(B9:B19,B6,B5)</f>
        <v>0.127885197978422</v>
      </c>
    </row>
    <row r="26" customFormat="false" ht="15" hidden="false" customHeight="true" outlineLevel="0" collapsed="false">
      <c r="A26" s="9" t="s">
        <v>38</v>
      </c>
      <c r="B26" s="16" t="n">
        <f aca="false">Payback!B17</f>
        <v>3.44827586206897</v>
      </c>
    </row>
    <row r="27" customFormat="false" ht="15" hidden="false" customHeight="true" outlineLevel="0" collapsed="false">
      <c r="A27" s="9" t="s">
        <v>39</v>
      </c>
      <c r="B27" s="16" t="n">
        <f aca="false">Payback!B18</f>
        <v>4.78280722803995</v>
      </c>
    </row>
    <row r="28" customFormat="false" ht="15" hidden="false" customHeight="true" outlineLevel="0" collapsed="false">
      <c r="A28" s="9" t="s">
        <v>40</v>
      </c>
      <c r="B28" s="17" t="n">
        <f aca="false">NPV(B4,B10:B19)</f>
        <v>517554.231207862</v>
      </c>
    </row>
    <row r="29" customFormat="false" ht="15" hidden="false" customHeight="true" outlineLevel="0" collapsed="false">
      <c r="A29" s="6" t="s">
        <v>24</v>
      </c>
      <c r="B29" s="18" t="n">
        <f aca="false">IF(B9&lt;0,B28/-B9,0)</f>
        <v>1.03510846241572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8"/>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8" min="1" style="1" width="16"/>
  </cols>
  <sheetData>
    <row r="1" customFormat="false" ht="17.25" hidden="false" customHeight="true" outlineLevel="0" collapsed="false">
      <c r="A1" s="2" t="s">
        <v>41</v>
      </c>
    </row>
    <row r="3" customFormat="false" ht="15" hidden="false" customHeight="true" outlineLevel="0" collapsed="false">
      <c r="A3" s="19" t="s">
        <v>33</v>
      </c>
      <c r="B3" s="19" t="s">
        <v>34</v>
      </c>
      <c r="C3" s="19" t="s">
        <v>42</v>
      </c>
      <c r="D3" s="19" t="s">
        <v>43</v>
      </c>
      <c r="E3" s="19" t="s">
        <v>44</v>
      </c>
      <c r="F3" s="19"/>
      <c r="G3" s="19" t="s">
        <v>45</v>
      </c>
      <c r="H3" s="19" t="s">
        <v>46</v>
      </c>
    </row>
    <row r="4" customFormat="false" ht="15" hidden="false" customHeight="true" outlineLevel="0" collapsed="false">
      <c r="A4" s="12" t="n">
        <v>0</v>
      </c>
      <c r="B4" s="20" t="n">
        <f aca="false">Project!B9</f>
        <v>-500000</v>
      </c>
      <c r="C4" s="20" t="n">
        <f aca="false">0+B4</f>
        <v>-500000</v>
      </c>
      <c r="D4" s="20" t="n">
        <f aca="false">B4/(1+Project!$B$4)^A4</f>
        <v>-500000</v>
      </c>
      <c r="E4" s="20" t="n">
        <f aca="false">0+D4</f>
        <v>-500000</v>
      </c>
      <c r="G4" s="12" t="n">
        <f aca="false">IF(C4&gt;=0,1,0)</f>
        <v>0</v>
      </c>
      <c r="H4" s="12" t="n">
        <f aca="false">IF(E4&gt;=0,1,0)</f>
        <v>0</v>
      </c>
    </row>
    <row r="5" customFormat="false" ht="15" hidden="false" customHeight="true" outlineLevel="0" collapsed="false">
      <c r="A5" s="12" t="n">
        <v>1</v>
      </c>
      <c r="B5" s="20" t="n">
        <f aca="false">Project!B10</f>
        <v>145000</v>
      </c>
      <c r="C5" s="20" t="n">
        <f aca="false">C4+B5</f>
        <v>-355000</v>
      </c>
      <c r="D5" s="20" t="n">
        <f aca="false">B5/(1+Project!$B$4)^A5</f>
        <v>129003.558718861</v>
      </c>
      <c r="E5" s="20" t="n">
        <f aca="false">E4+D5</f>
        <v>-370996.441281139</v>
      </c>
      <c r="G5" s="12" t="n">
        <f aca="false">IF(C5&gt;=0,1,0)</f>
        <v>0</v>
      </c>
      <c r="H5" s="12" t="n">
        <f aca="false">IF(E5&gt;=0,1,0)</f>
        <v>0</v>
      </c>
    </row>
    <row r="6" customFormat="false" ht="15" hidden="false" customHeight="true" outlineLevel="0" collapsed="false">
      <c r="A6" s="12" t="n">
        <v>2</v>
      </c>
      <c r="B6" s="20" t="n">
        <f aca="false">Project!B11</f>
        <v>145000</v>
      </c>
      <c r="C6" s="20" t="n">
        <f aca="false">C5+B6</f>
        <v>-210000</v>
      </c>
      <c r="D6" s="20" t="n">
        <f aca="false">B6/(1+Project!$B$4)^A6</f>
        <v>114771.849394005</v>
      </c>
      <c r="E6" s="20" t="n">
        <f aca="false">E5+D6</f>
        <v>-256224.591887134</v>
      </c>
      <c r="G6" s="12" t="n">
        <f aca="false">IF(C6&gt;=0,1,0)</f>
        <v>0</v>
      </c>
      <c r="H6" s="12" t="n">
        <f aca="false">IF(E6&gt;=0,1,0)</f>
        <v>0</v>
      </c>
    </row>
    <row r="7" customFormat="false" ht="15" hidden="false" customHeight="true" outlineLevel="0" collapsed="false">
      <c r="A7" s="12" t="n">
        <v>3</v>
      </c>
      <c r="B7" s="20" t="n">
        <f aca="false">Project!B12</f>
        <v>145000</v>
      </c>
      <c r="C7" s="20" t="n">
        <f aca="false">C6+B7</f>
        <v>-65000</v>
      </c>
      <c r="D7" s="20" t="n">
        <f aca="false">B7/(1+Project!$B$4)^A7</f>
        <v>102110.186293598</v>
      </c>
      <c r="E7" s="20" t="n">
        <f aca="false">E6+D7</f>
        <v>-154114.405593536</v>
      </c>
      <c r="G7" s="12" t="n">
        <f aca="false">IF(C7&gt;=0,1,0)</f>
        <v>0</v>
      </c>
      <c r="H7" s="12" t="n">
        <f aca="false">IF(E7&gt;=0,1,0)</f>
        <v>0</v>
      </c>
    </row>
    <row r="8" customFormat="false" ht="15" hidden="false" customHeight="true" outlineLevel="0" collapsed="false">
      <c r="A8" s="12" t="n">
        <v>4</v>
      </c>
      <c r="B8" s="20" t="n">
        <f aca="false">Project!B13</f>
        <v>145000</v>
      </c>
      <c r="C8" s="20" t="n">
        <f aca="false">C7+B8</f>
        <v>80000</v>
      </c>
      <c r="D8" s="20" t="n">
        <f aca="false">B8/(1+Project!$B$4)^A8</f>
        <v>90845.361471173</v>
      </c>
      <c r="E8" s="20" t="n">
        <f aca="false">E7+D8</f>
        <v>-63269.0441223628</v>
      </c>
      <c r="G8" s="12" t="n">
        <f aca="false">IF(C8&gt;=0,1,0)</f>
        <v>1</v>
      </c>
      <c r="H8" s="12" t="n">
        <f aca="false">IF(E8&gt;=0,1,0)</f>
        <v>0</v>
      </c>
    </row>
    <row r="9" customFormat="false" ht="15" hidden="false" customHeight="true" outlineLevel="0" collapsed="false">
      <c r="A9" s="12" t="n">
        <v>5</v>
      </c>
      <c r="B9" s="20" t="n">
        <f aca="false">Project!B14</f>
        <v>145000</v>
      </c>
      <c r="C9" s="20" t="n">
        <f aca="false">C8+B9</f>
        <v>225000</v>
      </c>
      <c r="D9" s="20" t="n">
        <f aca="false">B9/(1+Project!$B$4)^A9</f>
        <v>80823.275330225</v>
      </c>
      <c r="E9" s="20" t="n">
        <f aca="false">E8+D9</f>
        <v>17554.2312078622</v>
      </c>
      <c r="G9" s="12" t="n">
        <f aca="false">IF(C9&gt;=0,1,0)</f>
        <v>1</v>
      </c>
      <c r="H9" s="12" t="n">
        <f aca="false">IF(E9&gt;=0,1,0)</f>
        <v>1</v>
      </c>
    </row>
    <row r="10" customFormat="false" ht="15" hidden="false" customHeight="true" outlineLevel="0" collapsed="false">
      <c r="A10" s="12" t="n">
        <v>6</v>
      </c>
      <c r="B10" s="20" t="n">
        <f aca="false">Project!B15</f>
        <v>0</v>
      </c>
      <c r="C10" s="20" t="n">
        <f aca="false">C9+B10</f>
        <v>225000</v>
      </c>
      <c r="D10" s="20" t="n">
        <f aca="false">B10/(1+Project!$B$4)^A10</f>
        <v>0</v>
      </c>
      <c r="E10" s="20" t="n">
        <f aca="false">E9+D10</f>
        <v>17554.2312078622</v>
      </c>
      <c r="G10" s="12" t="n">
        <f aca="false">IF(C10&gt;=0,1,0)</f>
        <v>1</v>
      </c>
      <c r="H10" s="12" t="n">
        <f aca="false">IF(E10&gt;=0,1,0)</f>
        <v>1</v>
      </c>
    </row>
    <row r="11" customFormat="false" ht="15" hidden="false" customHeight="true" outlineLevel="0" collapsed="false">
      <c r="A11" s="12" t="n">
        <v>7</v>
      </c>
      <c r="B11" s="20" t="n">
        <f aca="false">Project!B16</f>
        <v>0</v>
      </c>
      <c r="C11" s="20" t="n">
        <f aca="false">C10+B11</f>
        <v>225000</v>
      </c>
      <c r="D11" s="20" t="n">
        <f aca="false">B11/(1+Project!$B$4)^A11</f>
        <v>0</v>
      </c>
      <c r="E11" s="20" t="n">
        <f aca="false">E10+D11</f>
        <v>17554.2312078622</v>
      </c>
      <c r="G11" s="12" t="n">
        <f aca="false">IF(C11&gt;=0,1,0)</f>
        <v>1</v>
      </c>
      <c r="H11" s="12" t="n">
        <f aca="false">IF(E11&gt;=0,1,0)</f>
        <v>1</v>
      </c>
    </row>
    <row r="12" customFormat="false" ht="15" hidden="false" customHeight="true" outlineLevel="0" collapsed="false">
      <c r="A12" s="12" t="n">
        <v>8</v>
      </c>
      <c r="B12" s="20" t="n">
        <f aca="false">Project!B17</f>
        <v>0</v>
      </c>
      <c r="C12" s="20" t="n">
        <f aca="false">C11+B12</f>
        <v>225000</v>
      </c>
      <c r="D12" s="20" t="n">
        <f aca="false">B12/(1+Project!$B$4)^A12</f>
        <v>0</v>
      </c>
      <c r="E12" s="20" t="n">
        <f aca="false">E11+D12</f>
        <v>17554.2312078622</v>
      </c>
      <c r="G12" s="12" t="n">
        <f aca="false">IF(C12&gt;=0,1,0)</f>
        <v>1</v>
      </c>
      <c r="H12" s="12" t="n">
        <f aca="false">IF(E12&gt;=0,1,0)</f>
        <v>1</v>
      </c>
    </row>
    <row r="13" customFormat="false" ht="15" hidden="false" customHeight="true" outlineLevel="0" collapsed="false">
      <c r="A13" s="12" t="n">
        <v>9</v>
      </c>
      <c r="B13" s="20" t="n">
        <f aca="false">Project!B18</f>
        <v>0</v>
      </c>
      <c r="C13" s="20" t="n">
        <f aca="false">C12+B13</f>
        <v>225000</v>
      </c>
      <c r="D13" s="20" t="n">
        <f aca="false">B13/(1+Project!$B$4)^A13</f>
        <v>0</v>
      </c>
      <c r="E13" s="20" t="n">
        <f aca="false">E12+D13</f>
        <v>17554.2312078622</v>
      </c>
      <c r="G13" s="12" t="n">
        <f aca="false">IF(C13&gt;=0,1,0)</f>
        <v>1</v>
      </c>
      <c r="H13" s="12" t="n">
        <f aca="false">IF(E13&gt;=0,1,0)</f>
        <v>1</v>
      </c>
    </row>
    <row r="14" customFormat="false" ht="15" hidden="false" customHeight="true" outlineLevel="0" collapsed="false">
      <c r="A14" s="12" t="n">
        <v>10</v>
      </c>
      <c r="B14" s="20" t="n">
        <f aca="false">Project!B19</f>
        <v>0</v>
      </c>
      <c r="C14" s="20" t="n">
        <f aca="false">C13+B14</f>
        <v>225000</v>
      </c>
      <c r="D14" s="20" t="n">
        <f aca="false">B14/(1+Project!$B$4)^A14</f>
        <v>0</v>
      </c>
      <c r="E14" s="20" t="n">
        <f aca="false">E13+D14</f>
        <v>17554.2312078622</v>
      </c>
      <c r="G14" s="12" t="n">
        <f aca="false">IF(C14&gt;=0,1,0)</f>
        <v>1</v>
      </c>
      <c r="H14" s="12" t="n">
        <f aca="false">IF(E14&gt;=0,1,0)</f>
        <v>1</v>
      </c>
    </row>
    <row r="17" customFormat="false" ht="15" hidden="false" customHeight="true" outlineLevel="0" collapsed="false">
      <c r="A17" s="6" t="s">
        <v>47</v>
      </c>
      <c r="B17" s="21" t="n">
        <f aca="false">IFERROR(INDEX(A4:A14,MATCH(1,G4:G14,0))-1+(-INDEX(C4:C14,MATCH(1,G4:G14,0)-1))/INDEX(B4:B14,MATCH(1,G4:G14,0)),"never")</f>
        <v>3.44827586206897</v>
      </c>
    </row>
    <row r="18" customFormat="false" ht="15" hidden="false" customHeight="true" outlineLevel="0" collapsed="false">
      <c r="A18" s="6" t="s">
        <v>39</v>
      </c>
      <c r="B18" s="21" t="n">
        <f aca="false">IFERROR(INDEX(A4:A14,MATCH(1,H4:H14,0))-1+(-INDEX(E4:E14,MATCH(1,H4:H14,0)-1))/INDEX(D4:D14,MATCH(1,H4:H14,0)),"never")</f>
        <v>4.78280722803995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4"/>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5" min="1" style="1" width="11"/>
  </cols>
  <sheetData>
    <row r="1" customFormat="false" ht="17.25" hidden="false" customHeight="true" outlineLevel="0" collapsed="false">
      <c r="A1" s="2" t="s">
        <v>48</v>
      </c>
    </row>
    <row r="3" customFormat="false" ht="15" hidden="false" customHeight="true" outlineLevel="0" collapsed="false">
      <c r="A3" s="9" t="s">
        <v>49</v>
      </c>
      <c r="B3" s="19" t="s">
        <v>50</v>
      </c>
      <c r="C3" s="19" t="s">
        <v>51</v>
      </c>
      <c r="D3" s="19" t="s">
        <v>52</v>
      </c>
      <c r="E3" s="19" t="s">
        <v>53</v>
      </c>
      <c r="F3" s="19" t="s">
        <v>54</v>
      </c>
      <c r="G3" s="19" t="s">
        <v>55</v>
      </c>
      <c r="H3" s="19" t="s">
        <v>56</v>
      </c>
      <c r="I3" s="19" t="s">
        <v>57</v>
      </c>
      <c r="J3" s="19" t="s">
        <v>58</v>
      </c>
      <c r="K3" s="19" t="s">
        <v>59</v>
      </c>
      <c r="L3" s="19" t="s">
        <v>60</v>
      </c>
      <c r="M3" s="19" t="s">
        <v>61</v>
      </c>
      <c r="N3" s="19" t="s">
        <v>62</v>
      </c>
      <c r="O3" s="19" t="s">
        <v>63</v>
      </c>
    </row>
    <row r="4" customFormat="false" ht="15" hidden="false" customHeight="true" outlineLevel="0" collapsed="false">
      <c r="A4" s="1" t="s">
        <v>16</v>
      </c>
      <c r="B4" s="20" t="n">
        <f aca="false">NPV(-10%,Project!$B$10:$B$19)+Project!$B$9</f>
        <v>505587.732222392</v>
      </c>
      <c r="C4" s="20" t="n">
        <f aca="false">NPV(-5%,Project!$B$10:$B$19)+Project!$B$9</f>
        <v>347830.761209467</v>
      </c>
      <c r="D4" s="20" t="n">
        <f aca="false">NPV(0%,Project!$B$10:$B$19)+Project!$B$9</f>
        <v>225000</v>
      </c>
      <c r="E4" s="20" t="n">
        <f aca="false">NPV(5%,Project!$B$10:$B$19)+Project!$B$9</f>
        <v>127774.117241469</v>
      </c>
      <c r="F4" s="20" t="n">
        <f aca="false">NPV(10%,Project!$B$10:$B$19)+Project!$B$9</f>
        <v>49664.0815642249</v>
      </c>
      <c r="G4" s="20" t="n">
        <f aca="false">NPV(12.4%,Project!$B$10:$B$19)+Project!$B$9</f>
        <v>17554.2312078622</v>
      </c>
      <c r="H4" s="20" t="n">
        <f aca="false">NPV(15%,Project!$B$10:$B$19)+Project!$B$9</f>
        <v>-13937.5107883466</v>
      </c>
      <c r="I4" s="20" t="n">
        <f aca="false">NPV(20%,Project!$B$10:$B$19)+Project!$B$9</f>
        <v>-66361.2397119341</v>
      </c>
      <c r="J4" s="20" t="n">
        <f aca="false">NPV(25%,Project!$B$10:$B$19)+Project!$B$9</f>
        <v>-110054.4</v>
      </c>
      <c r="K4" s="20" t="n">
        <f aca="false">NPV(30%,Project!$B$10:$B$19)+Project!$B$9</f>
        <v>-146842.385932404</v>
      </c>
      <c r="L4" s="20" t="n">
        <f aca="false">NPV(40%,Project!$B$10:$B$19)+Project!$B$9</f>
        <v>-204901.231629678</v>
      </c>
      <c r="M4" s="20" t="n">
        <f aca="false">NPV(50%,Project!$B$10:$B$19)+Project!$B$9</f>
        <v>-248189.300411523</v>
      </c>
      <c r="N4" s="20" t="n">
        <f aca="false">NPV(75%,Project!$B$10:$B$19)+Project!$B$9</f>
        <v>-318445.885642887</v>
      </c>
      <c r="O4" s="20" t="n">
        <f aca="false">NPV(100%,Project!$B$10:$B$19)+Project!$B$9</f>
        <v>-359531.25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6"/>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3" min="2" style="1" width="18"/>
  </cols>
  <sheetData>
    <row r="1" customFormat="false" ht="17.25" hidden="false" customHeight="true" outlineLevel="0" collapsed="false">
      <c r="A1" s="2" t="s">
        <v>64</v>
      </c>
    </row>
    <row r="3" customFormat="false" ht="15" hidden="false" customHeight="true" outlineLevel="0" collapsed="false">
      <c r="B3" s="11" t="s">
        <v>65</v>
      </c>
      <c r="C3" s="11" t="s">
        <v>66</v>
      </c>
    </row>
    <row r="4" customFormat="false" ht="15" hidden="false" customHeight="true" outlineLevel="0" collapsed="false">
      <c r="A4" s="1" t="s">
        <v>67</v>
      </c>
      <c r="B4" s="13" t="n">
        <v>-50000</v>
      </c>
      <c r="C4" s="13" t="n">
        <v>-500000</v>
      </c>
    </row>
    <row r="5" customFormat="false" ht="15" hidden="false" customHeight="true" outlineLevel="0" collapsed="false">
      <c r="A5" s="1" t="s">
        <v>68</v>
      </c>
      <c r="B5" s="13" t="n">
        <v>70000</v>
      </c>
      <c r="C5" s="13" t="n">
        <v>600000</v>
      </c>
    </row>
    <row r="7" customFormat="false" ht="15" hidden="false" customHeight="true" outlineLevel="0" collapsed="false">
      <c r="A7" s="1" t="s">
        <v>30</v>
      </c>
      <c r="B7" s="22" t="n">
        <v>0.124</v>
      </c>
    </row>
    <row r="9" customFormat="false" ht="15" hidden="false" customHeight="true" outlineLevel="0" collapsed="false">
      <c r="A9" s="9" t="s">
        <v>16</v>
      </c>
      <c r="B9" s="17" t="n">
        <f aca="false">B4+B5/(1+$B$7)</f>
        <v>12277.5800711744</v>
      </c>
      <c r="C9" s="17" t="n">
        <f aca="false">C4+C5/(1+$B$7)</f>
        <v>33807.8291814947</v>
      </c>
    </row>
    <row r="10" customFormat="false" ht="15" hidden="false" customHeight="true" outlineLevel="0" collapsed="false">
      <c r="A10" s="9" t="s">
        <v>18</v>
      </c>
      <c r="B10" s="15" t="n">
        <f aca="false">B5/-B4-1</f>
        <v>0.4</v>
      </c>
      <c r="C10" s="15" t="n">
        <f aca="false">C5/-C4-1</f>
        <v>0.2</v>
      </c>
    </row>
    <row r="11" customFormat="false" ht="15" hidden="false" customHeight="true" outlineLevel="0" collapsed="false">
      <c r="A11" s="9" t="s">
        <v>24</v>
      </c>
      <c r="B11" s="23" t="n">
        <f aca="false">(B5/(1+$B$7))/-B4</f>
        <v>1.24555160142349</v>
      </c>
      <c r="C11" s="23" t="n">
        <f aca="false">(C5/(1+$B$7))/-C4</f>
        <v>1.06761565836299</v>
      </c>
    </row>
    <row r="13" customFormat="false" ht="15" hidden="false" customHeight="true" outlineLevel="0" collapsed="false">
      <c r="A13" s="6" t="s">
        <v>69</v>
      </c>
      <c r="B13" s="24" t="n">
        <f aca="false">(B5-C5)/(C4-B4)-1</f>
        <v>0.177777777777778</v>
      </c>
    </row>
    <row r="15" customFormat="false" ht="15" hidden="false" customHeight="true" outlineLevel="0" collapsed="false">
      <c r="A15" s="9" t="s">
        <v>70</v>
      </c>
      <c r="B15" s="12" t="str">
        <f aca="false">IF(B9&gt;C9,"Project S","Project L")</f>
        <v>Project L</v>
      </c>
    </row>
    <row r="16" customFormat="false" ht="15" hidden="false" customHeight="true" outlineLevel="0" collapsed="false">
      <c r="A16" s="9" t="s">
        <v>71</v>
      </c>
      <c r="B16" s="12" t="str">
        <f aca="false">IF(B10&gt;C10,"Project S","Project L")</f>
        <v>Project 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0"/>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6" min="1" style="1" width="14"/>
    <col collapsed="false" customWidth="true" hidden="false" outlineLevel="0" max="10" min="7" style="0" width="14"/>
  </cols>
  <sheetData>
    <row r="1" customFormat="false" ht="17.25" hidden="false" customHeight="true" outlineLevel="0" collapsed="false">
      <c r="A1" s="2" t="s">
        <v>72</v>
      </c>
    </row>
    <row r="3" customFormat="false" ht="31.5" hidden="false" customHeight="true" outlineLevel="0" collapsed="false">
      <c r="A3" s="25" t="s">
        <v>73</v>
      </c>
      <c r="B3" s="25" t="s">
        <v>74</v>
      </c>
      <c r="C3" s="25" t="s">
        <v>75</v>
      </c>
      <c r="D3" s="25" t="s">
        <v>76</v>
      </c>
      <c r="E3" s="25" t="s">
        <v>77</v>
      </c>
      <c r="F3" s="25" t="s">
        <v>78</v>
      </c>
      <c r="G3" s="25" t="s">
        <v>79</v>
      </c>
      <c r="H3" s="25" t="s">
        <v>30</v>
      </c>
      <c r="I3" s="25" t="s">
        <v>16</v>
      </c>
      <c r="J3" s="25" t="s">
        <v>80</v>
      </c>
    </row>
    <row r="4" customFormat="false" ht="15" hidden="false" customHeight="true" outlineLevel="0" collapsed="false">
      <c r="A4" s="12" t="s">
        <v>65</v>
      </c>
      <c r="B4" s="26" t="n">
        <v>50000</v>
      </c>
      <c r="C4" s="26" t="n">
        <v>70000</v>
      </c>
      <c r="D4" s="26" t="n">
        <v>0</v>
      </c>
      <c r="E4" s="26" t="n">
        <v>0</v>
      </c>
      <c r="F4" s="26" t="n">
        <v>0</v>
      </c>
      <c r="G4" s="27" t="n">
        <v>0</v>
      </c>
      <c r="H4" s="28" t="n">
        <v>0.124</v>
      </c>
      <c r="I4" s="29" t="n">
        <f aca="false">-B4+C4/(1+H4)+D4/(1+H4)^2+E4/(1+H4)^3+F4/(1+H4)^4+G4/(1+H4)^5</f>
        <v>12277.5800711744</v>
      </c>
      <c r="J4" s="30" t="n">
        <f aca="false">(I4+B4)/B4</f>
        <v>1.24555160142349</v>
      </c>
    </row>
    <row r="5" customFormat="false" ht="15" hidden="false" customHeight="true" outlineLevel="0" collapsed="false">
      <c r="A5" s="12" t="s">
        <v>66</v>
      </c>
      <c r="B5" s="26" t="n">
        <v>500000</v>
      </c>
      <c r="C5" s="26" t="n">
        <v>600000</v>
      </c>
      <c r="D5" s="26" t="n">
        <v>0</v>
      </c>
      <c r="E5" s="26" t="n">
        <v>0</v>
      </c>
      <c r="F5" s="26" t="n">
        <v>0</v>
      </c>
      <c r="G5" s="27" t="n">
        <v>0</v>
      </c>
      <c r="H5" s="28" t="n">
        <v>0.124</v>
      </c>
      <c r="I5" s="29" t="n">
        <f aca="false">-B5+C5/(1+H5)+D5/(1+H5)^2+E5/(1+H5)^3+F5/(1+H5)^4+G5/(1+H5)^5</f>
        <v>33807.8291814947</v>
      </c>
      <c r="J5" s="30" t="n">
        <f aca="false">(I5+B5)/B5</f>
        <v>1.06761565836299</v>
      </c>
    </row>
    <row r="6" customFormat="false" ht="15" hidden="false" customHeight="true" outlineLevel="0" collapsed="false">
      <c r="A6" s="12" t="s">
        <v>81</v>
      </c>
      <c r="B6" s="26" t="n">
        <v>800000</v>
      </c>
      <c r="C6" s="26" t="n">
        <v>260000</v>
      </c>
      <c r="D6" s="26" t="n">
        <v>260000</v>
      </c>
      <c r="E6" s="26" t="n">
        <v>260000</v>
      </c>
      <c r="F6" s="26" t="n">
        <v>260000</v>
      </c>
      <c r="G6" s="27" t="n">
        <v>0</v>
      </c>
      <c r="H6" s="28" t="n">
        <v>0.124</v>
      </c>
      <c r="I6" s="29" t="n">
        <f aca="false">-B6+C6/(1+H6)+D6/(1+H6)^2+E6/(1+H6)^3+F6/(1+H6)^4+G6/(1+H6)^5</f>
        <v>-16896.2170469955</v>
      </c>
      <c r="J6" s="30" t="n">
        <f aca="false">(I6+B6)/B6</f>
        <v>0.978879728691256</v>
      </c>
    </row>
    <row r="7" customFormat="false" ht="15" hidden="false" customHeight="true" outlineLevel="0" collapsed="false">
      <c r="A7" s="12" t="s">
        <v>82</v>
      </c>
      <c r="B7" s="26" t="n">
        <v>1200000</v>
      </c>
      <c r="C7" s="26" t="n">
        <v>340000</v>
      </c>
      <c r="D7" s="26" t="n">
        <v>340000</v>
      </c>
      <c r="E7" s="26" t="n">
        <v>340000</v>
      </c>
      <c r="F7" s="26" t="n">
        <v>340000</v>
      </c>
      <c r="G7" s="27" t="n">
        <v>340000</v>
      </c>
      <c r="H7" s="28" t="n">
        <v>0.124</v>
      </c>
      <c r="I7" s="29" t="n">
        <f aca="false">-B7+C7/(1+H7)+D7/(1+H7)^2+E7/(1+H7)^3+F7/(1+H7)^4+G7/(1+H7)^5</f>
        <v>13575.4386942976</v>
      </c>
      <c r="J7" s="30" t="n">
        <f aca="false">(I7+B7)/B7</f>
        <v>1.01131286557858</v>
      </c>
    </row>
    <row r="9" customFormat="false" ht="15" hidden="false" customHeight="true" outlineLevel="0" collapsed="false">
      <c r="A9" s="6" t="s">
        <v>83</v>
      </c>
      <c r="B9" s="26" t="n">
        <v>900000</v>
      </c>
    </row>
    <row r="10" customFormat="false" ht="15" hidden="false" customHeight="true" outlineLevel="0" collapsed="false">
      <c r="A10" s="3" t="s">
        <v>84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8"/>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7" min="2" style="0" width="15"/>
  </cols>
  <sheetData>
    <row r="1" customFormat="false" ht="17.35" hidden="false" customHeight="false" outlineLevel="0" collapsed="false">
      <c r="A1" s="31" t="s">
        <v>85</v>
      </c>
    </row>
    <row r="2" customFormat="false" ht="15" hidden="false" customHeight="false" outlineLevel="0" collapsed="false">
      <c r="A2" s="32" t="s">
        <v>86</v>
      </c>
    </row>
    <row r="4" customFormat="false" ht="30" hidden="false" customHeight="true" outlineLevel="0" collapsed="false">
      <c r="A4" s="25" t="s">
        <v>73</v>
      </c>
      <c r="B4" s="25" t="s">
        <v>74</v>
      </c>
      <c r="C4" s="25" t="s">
        <v>75</v>
      </c>
      <c r="D4" s="25" t="s">
        <v>30</v>
      </c>
      <c r="E4" s="25" t="s">
        <v>16</v>
      </c>
      <c r="F4" s="25" t="s">
        <v>80</v>
      </c>
    </row>
    <row r="5" customFormat="false" ht="15" hidden="false" customHeight="false" outlineLevel="0" collapsed="false">
      <c r="A5" s="33" t="s">
        <v>87</v>
      </c>
      <c r="B5" s="27" t="n">
        <v>1000000</v>
      </c>
      <c r="C5" s="27" t="n">
        <v>1686000</v>
      </c>
      <c r="D5" s="28" t="n">
        <v>0.124</v>
      </c>
      <c r="E5" s="34" t="n">
        <f aca="false">-B5+C5/(1+D5)</f>
        <v>500000</v>
      </c>
      <c r="F5" s="35" t="n">
        <f aca="false">(E5+B5)/B5</f>
        <v>1.5</v>
      </c>
    </row>
    <row r="6" customFormat="false" ht="15" hidden="false" customHeight="false" outlineLevel="0" collapsed="false">
      <c r="A6" s="33" t="s">
        <v>88</v>
      </c>
      <c r="B6" s="27" t="n">
        <v>600000</v>
      </c>
      <c r="C6" s="27" t="n">
        <v>1146480</v>
      </c>
      <c r="D6" s="28" t="n">
        <v>0.124</v>
      </c>
      <c r="E6" s="34" t="n">
        <f aca="false">-B6+C6/(1+D6)</f>
        <v>420000</v>
      </c>
      <c r="F6" s="35" t="n">
        <f aca="false">(E6+B6)/B6</f>
        <v>1.7</v>
      </c>
    </row>
    <row r="7" customFormat="false" ht="15" hidden="false" customHeight="false" outlineLevel="0" collapsed="false">
      <c r="A7" s="33" t="s">
        <v>89</v>
      </c>
      <c r="B7" s="27" t="n">
        <v>400000</v>
      </c>
      <c r="C7" s="27" t="n">
        <v>494560</v>
      </c>
      <c r="D7" s="28" t="n">
        <v>0.124</v>
      </c>
      <c r="E7" s="34" t="n">
        <f aca="false">-B7+C7/(1+D7)</f>
        <v>39999.9999999999</v>
      </c>
      <c r="F7" s="35" t="n">
        <f aca="false">(E7+B7)/B7</f>
        <v>1.1</v>
      </c>
    </row>
    <row r="8" customFormat="false" ht="15" hidden="false" customHeight="false" outlineLevel="0" collapsed="false">
      <c r="A8" s="0" t="s">
        <v>90</v>
      </c>
      <c r="B8" s="27" t="n">
        <v>1000000</v>
      </c>
    </row>
    <row r="10" customFormat="false" ht="15" hidden="false" customHeight="false" outlineLevel="0" collapsed="false">
      <c r="A10" s="36" t="s">
        <v>91</v>
      </c>
    </row>
    <row r="11" customFormat="false" ht="15" hidden="false" customHeight="false" outlineLevel="0" collapsed="false">
      <c r="A11" s="0" t="s">
        <v>92</v>
      </c>
      <c r="B11" s="34" t="n">
        <f aca="false">B6+B7</f>
        <v>1000000</v>
      </c>
    </row>
    <row r="12" customFormat="false" ht="15" hidden="false" customHeight="false" outlineLevel="0" collapsed="false">
      <c r="A12" s="0" t="s">
        <v>93</v>
      </c>
      <c r="B12" s="37" t="n">
        <f aca="false">E6+E7</f>
        <v>460000</v>
      </c>
    </row>
    <row r="14" customFormat="false" ht="15" hidden="false" customHeight="false" outlineLevel="0" collapsed="false">
      <c r="A14" s="36" t="s">
        <v>94</v>
      </c>
    </row>
    <row r="15" customFormat="false" ht="15" hidden="false" customHeight="false" outlineLevel="0" collapsed="false">
      <c r="A15" s="0" t="s">
        <v>74</v>
      </c>
      <c r="B15" s="34" t="n">
        <f aca="false">B5</f>
        <v>1000000</v>
      </c>
    </row>
    <row r="16" customFormat="false" ht="15" hidden="false" customHeight="false" outlineLevel="0" collapsed="false">
      <c r="A16" s="0" t="s">
        <v>16</v>
      </c>
      <c r="B16" s="37" t="n">
        <f aca="false">E5</f>
        <v>500000</v>
      </c>
    </row>
    <row r="18" customFormat="false" ht="15" hidden="false" customHeight="false" outlineLevel="0" collapsed="false">
      <c r="A18" s="36" t="s">
        <v>95</v>
      </c>
      <c r="B18" s="37" t="n">
        <f aca="false">B16-B12</f>
        <v>39999.9999999999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2026-09-22T09:51:38Z</dcterms:created>
  <dc:creator>openpyxl</dc:creator>
  <dc:description/>
  <dc:language>en-US</dc:language>
  <cp:lastModifiedBy/>
  <dcterms:modified xsi:type="dcterms:W3CDTF">2026-09-22T12:51:54Z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