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Inputs" sheetId="2" state="visible" r:id="rId4"/>
    <sheet name="Cap tab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<sst xmlns="http://schemas.openxmlformats.org/spreadsheetml/2006/main" count="96" uniqueCount="74">
  <si>
    <t xml:space="preserve">Cap table and dilution workbook</t>
  </si>
  <si>
    <t xml:space="preserve">Calcority. Post-money SAFEs and up to three priced rounds, with ownership by holder after every stage.</t>
  </si>
  <si>
    <t xml:space="preserve">How to use</t>
  </si>
  <si>
    <t xml:space="preserve">1</t>
  </si>
  <si>
    <t xml:space="preserve">Inputs tab: overwrite the example values. Enter who holds shares today, up to three post-money SAFEs (amount and valuation cap), and up to three priced rounds (pre-money, investment, and the option pool you want after the round). Leave a round's investment at 0 to skip it.</t>
  </si>
  <si>
    <t xml:space="preserve">2</t>
  </si>
  <si>
    <t xml:space="preserve">Cap table tab: shares and ownership for every holder after each stage: start, SAFEs converted, and each round. The check row must read 100%.</t>
  </si>
  <si>
    <t xml:space="preserve">Colors</t>
  </si>
  <si>
    <t xml:space="preserve">Blue on yellow = you type. Black = formula.</t>
  </si>
  <si>
    <t xml:space="preserve">Key rules</t>
  </si>
  <si>
    <t xml:space="preserve">Sequence</t>
  </si>
  <si>
    <t xml:space="preserve">SAFEs convert at the first priced round, before its new money and pool increase. Each round then creates the pool in the pre-money and issues the investor's shares.</t>
  </si>
  <si>
    <t xml:space="preserve">Post-money SAFE</t>
  </si>
  <si>
    <t xml:space="preserve">Each SAFE owns purchase amount ÷ cap of the company capitalization: existing shares, existing pool and all converting SAFEs. Company capitalization = (existing shares + pool) ÷ (1 − total SAFE share).</t>
  </si>
  <si>
    <t xml:space="preserve">Pool in the pre-money</t>
  </si>
  <si>
    <t xml:space="preserve">Total shares N = existing non-pool shares ÷ (1 − pool % − investor %). The pool is topped up only if the existing pool is smaller than the target.</t>
  </si>
  <si>
    <t xml:space="preserve">Dilution convention</t>
  </si>
  <si>
    <t xml:space="preserve">Relative dilution = 1 − new ownership ÷ previous ownership. Percentage points are shown separately.</t>
  </si>
  <si>
    <t xml:space="preserve">Not modeled</t>
  </si>
  <si>
    <t xml:space="preserve">Liquidation preferences, participation, anti-dilution, discount-only or pre-money SAFEs, MFN, notes, secondary sales, vesting, and a pool created after the investment.</t>
  </si>
  <si>
    <t xml:space="preserve">Disclaimer</t>
  </si>
  <si>
    <t xml:space="preserve">Planning aid, not legal or investment advice. Have counsel confirm the cap table.</t>
  </si>
  <si>
    <t xml:space="preserve">Inputs (example values: overwrite)</t>
  </si>
  <si>
    <t xml:space="preserve">Shares today</t>
  </si>
  <si>
    <t xml:space="preserve">Founder 1</t>
  </si>
  <si>
    <t xml:space="preserve">Founder 2</t>
  </si>
  <si>
    <t xml:space="preserve">Other holders</t>
  </si>
  <si>
    <t xml:space="preserve">Existing option pool</t>
  </si>
  <si>
    <t xml:space="preserve">Post-money SAFEs</t>
  </si>
  <si>
    <t xml:space="preserve">Amount ($)</t>
  </si>
  <si>
    <t xml:space="preserve">Post-money cap ($)</t>
  </si>
  <si>
    <t xml:space="preserve">Share of company</t>
  </si>
  <si>
    <t xml:space="preserve">SAFE 1</t>
  </si>
  <si>
    <t xml:space="preserve">SAFE 2</t>
  </si>
  <si>
    <t xml:space="preserve">SAFE 3</t>
  </si>
  <si>
    <t xml:space="preserve">Total SAFE share of the company</t>
  </si>
  <si>
    <t xml:space="preserve">Priced rounds</t>
  </si>
  <si>
    <t xml:space="preserve">Pre-money ($)</t>
  </si>
  <si>
    <t xml:space="preserve">Investment ($)</t>
  </si>
  <si>
    <t xml:space="preserve">Pool after the round (%)</t>
  </si>
  <si>
    <t xml:space="preserve">Round 1</t>
  </si>
  <si>
    <t xml:space="preserve">Round 2</t>
  </si>
  <si>
    <t xml:space="preserve">Round 3</t>
  </si>
  <si>
    <t xml:space="preserve">Exit value for founders' proceeds</t>
  </si>
  <si>
    <t xml:space="preserve">Cap table by stage</t>
  </si>
  <si>
    <t xml:space="preserve">Shares</t>
  </si>
  <si>
    <t xml:space="preserve">Start</t>
  </si>
  <si>
    <t xml:space="preserve">SAFEs converted</t>
  </si>
  <si>
    <t xml:space="preserve">Round 1 investors</t>
  </si>
  <si>
    <t xml:space="preserve">Round 2 investors</t>
  </si>
  <si>
    <t xml:space="preserve">Round 3 investors</t>
  </si>
  <si>
    <t xml:space="preserve">Option pool</t>
  </si>
  <si>
    <t xml:space="preserve">Ownership</t>
  </si>
  <si>
    <t xml:space="preserve">Check: ownership adds to</t>
  </si>
  <si>
    <t xml:space="preserve">Founders combined</t>
  </si>
  <si>
    <t xml:space="preserve">Relative dilution of the founders' stake (vs. previous stage)</t>
  </si>
  <si>
    <t xml:space="preserve">Change in percentage points</t>
  </si>
  <si>
    <t xml:space="preserve">Price per share</t>
  </si>
  <si>
    <t xml:space="preserve">Founders' stake at that price</t>
  </si>
  <si>
    <t xml:space="preserve">Stake value vs. the previous round</t>
  </si>
  <si>
    <t xml:space="preserve">Founders' share of the exit value (ignores preferences)</t>
  </si>
  <si>
    <t xml:space="preserve">Uses the last column. If Round 3 is skipped, its column equals Round 2.</t>
  </si>
  <si>
    <t xml:space="preserve">Round helpers</t>
  </si>
  <si>
    <t xml:space="preserve">Active (investment and pre-money &gt; 0)</t>
  </si>
  <si>
    <t xml:space="preserve">Investor share i = investment ÷ (pre + investment)</t>
  </si>
  <si>
    <t xml:space="preserve">Pool target t</t>
  </si>
  <si>
    <t xml:space="preserve">Non-pool shares before the round (E)</t>
  </si>
  <si>
    <t xml:space="preserve">Pool shares before the round (P)</t>
  </si>
  <si>
    <t xml:space="preserve">Total if pool is topped up: E ÷ (1 − t − i)</t>
  </si>
  <si>
    <t xml:space="preserve">Use the top-up? (t &gt; 0 and t × total &gt; P)</t>
  </si>
  <si>
    <t xml:space="preserve">Total shares after the round (N)</t>
  </si>
  <si>
    <t xml:space="preserve">Investor shares (i × N)</t>
  </si>
  <si>
    <t xml:space="preserve">Pool shares after the round</t>
  </si>
  <si>
    <t xml:space="preserve">Price per share = (pre + investment) ÷ N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</si>
</sst>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\$#,##0"/>
    <numFmt numFmtId="167" formatCode="0.00%"/>
    <numFmt numFmtId="168" formatCode="0.0%"/>
    <numFmt numFmtId="169" formatCode="0.0"/>
    <numFmt numFmtId="170" formatCode="\$0.0000"/>
    <numFmt numFmtId="171" formatCode="0.00\×"/>
    <numFmt numFmtId="172" formatCode="#,##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43.5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15.75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3" t="s">
        <v>9</v>
      </c>
      <c r="B8" s="4"/>
    </row>
    <row r="9" customFormat="false" ht="30" hidden="false" customHeight="true" outlineLevel="0" collapsed="false">
      <c r="A9" s="5" t="s">
        <v>10</v>
      </c>
      <c r="B9" s="6" t="s">
        <v>11</v>
      </c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15.75" hidden="false" customHeight="true" outlineLevel="0" collapsed="false">
      <c r="A14" s="5" t="s">
        <v>20</v>
      </c>
      <c r="B14" s="6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8"/>
  </cols>
  <sheetData>
    <row r="1" customFormat="false" ht="17.35" hidden="false" customHeight="false" outlineLevel="0" collapsed="false">
      <c r="A1" s="1" t="s">
        <v>22</v>
      </c>
    </row>
    <row r="3" customFormat="false" ht="15" hidden="false" customHeight="false" outlineLevel="0" collapsed="false">
      <c r="A3" s="3" t="s">
        <v>23</v>
      </c>
    </row>
    <row r="4" customFormat="false" ht="15" hidden="false" customHeight="false" outlineLevel="0" collapsed="false">
      <c r="A4" s="7" t="s">
        <v>24</v>
      </c>
      <c r="B4" s="8" t="n">
        <v>5000000</v>
      </c>
    </row>
    <row r="5" customFormat="false" ht="15" hidden="false" customHeight="false" outlineLevel="0" collapsed="false">
      <c r="A5" s="7" t="s">
        <v>25</v>
      </c>
      <c r="B5" s="8" t="n">
        <v>3000000</v>
      </c>
    </row>
    <row r="6" customFormat="false" ht="15" hidden="false" customHeight="false" outlineLevel="0" collapsed="false">
      <c r="A6" s="7" t="s">
        <v>26</v>
      </c>
      <c r="B6" s="8" t="n">
        <v>0</v>
      </c>
    </row>
    <row r="7" customFormat="false" ht="15" hidden="false" customHeight="false" outlineLevel="0" collapsed="false">
      <c r="A7" s="7" t="s">
        <v>27</v>
      </c>
      <c r="B7" s="8" t="n">
        <v>1000000</v>
      </c>
    </row>
    <row r="9" customFormat="false" ht="15" hidden="false" customHeight="false" outlineLevel="0" collapsed="false">
      <c r="A9" s="3" t="s">
        <v>28</v>
      </c>
      <c r="B9" s="5" t="s">
        <v>29</v>
      </c>
      <c r="C9" s="5" t="s">
        <v>30</v>
      </c>
      <c r="D9" s="5" t="s">
        <v>31</v>
      </c>
    </row>
    <row r="10" customFormat="false" ht="15" hidden="false" customHeight="false" outlineLevel="0" collapsed="false">
      <c r="A10" s="7" t="s">
        <v>32</v>
      </c>
      <c r="B10" s="9" t="n">
        <v>500000</v>
      </c>
      <c r="C10" s="9" t="n">
        <v>5000000</v>
      </c>
      <c r="D10" s="10" t="n">
        <f aca="false">IF(AND(B10&gt;0,C10&gt;0),B10/C10,0)</f>
        <v>0.1</v>
      </c>
    </row>
    <row r="11" customFormat="false" ht="15" hidden="false" customHeight="false" outlineLevel="0" collapsed="false">
      <c r="A11" s="7" t="s">
        <v>33</v>
      </c>
      <c r="B11" s="9" t="n">
        <v>250000</v>
      </c>
      <c r="C11" s="9" t="n">
        <v>8000000</v>
      </c>
      <c r="D11" s="10" t="n">
        <f aca="false">IF(AND(B11&gt;0,C11&gt;0),B11/C11,0)</f>
        <v>0.03125</v>
      </c>
    </row>
    <row r="12" customFormat="false" ht="15" hidden="false" customHeight="false" outlineLevel="0" collapsed="false">
      <c r="A12" s="7" t="s">
        <v>34</v>
      </c>
      <c r="B12" s="9" t="n">
        <v>0</v>
      </c>
      <c r="C12" s="9" t="n">
        <v>0</v>
      </c>
      <c r="D12" s="10" t="n">
        <f aca="false">IF(AND(B12&gt;0,C12&gt;0),B12/C12,0)</f>
        <v>0</v>
      </c>
    </row>
    <row r="13" customFormat="false" ht="15" hidden="false" customHeight="false" outlineLevel="0" collapsed="false">
      <c r="A13" s="5" t="s">
        <v>35</v>
      </c>
      <c r="D13" s="11" t="n">
        <f aca="false">SUM(D10:D12)</f>
        <v>0.13125</v>
      </c>
    </row>
    <row r="15" customFormat="false" ht="15" hidden="false" customHeight="false" outlineLevel="0" collapsed="false">
      <c r="A15" s="3" t="s">
        <v>36</v>
      </c>
      <c r="B15" s="5" t="s">
        <v>37</v>
      </c>
      <c r="C15" s="5" t="s">
        <v>38</v>
      </c>
      <c r="D15" s="5" t="s">
        <v>39</v>
      </c>
    </row>
    <row r="16" customFormat="false" ht="15" hidden="false" customHeight="false" outlineLevel="0" collapsed="false">
      <c r="A16" s="7" t="s">
        <v>40</v>
      </c>
      <c r="B16" s="9" t="n">
        <v>15000000</v>
      </c>
      <c r="C16" s="9" t="n">
        <v>4000000</v>
      </c>
      <c r="D16" s="12" t="n">
        <v>0.12</v>
      </c>
    </row>
    <row r="17" customFormat="false" ht="15" hidden="false" customHeight="false" outlineLevel="0" collapsed="false">
      <c r="A17" s="7" t="s">
        <v>41</v>
      </c>
      <c r="B17" s="9" t="n">
        <v>45000000</v>
      </c>
      <c r="C17" s="9" t="n">
        <v>12000000</v>
      </c>
      <c r="D17" s="12" t="n">
        <v>0.1</v>
      </c>
    </row>
    <row r="18" customFormat="false" ht="15" hidden="false" customHeight="false" outlineLevel="0" collapsed="false">
      <c r="A18" s="7" t="s">
        <v>42</v>
      </c>
      <c r="B18" s="9" t="n">
        <v>0</v>
      </c>
      <c r="C18" s="9" t="n">
        <v>0</v>
      </c>
      <c r="D18" s="12" t="n">
        <v>0</v>
      </c>
    </row>
    <row r="20" customFormat="false" ht="15" hidden="false" customHeight="false" outlineLevel="0" collapsed="false">
      <c r="A20" s="7" t="s">
        <v>43</v>
      </c>
      <c r="B20" s="9" t="n">
        <v>300000000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6" min="2" style="0" width="17"/>
  </cols>
  <sheetData>
    <row r="1" customFormat="false" ht="17.35" hidden="false" customHeight="false" outlineLevel="0" collapsed="false">
      <c r="A1" s="1" t="s">
        <v>44</v>
      </c>
    </row>
    <row r="3" customFormat="false" ht="15" hidden="false" customHeight="false" outlineLevel="0" collapsed="false">
      <c r="A3" s="13" t="s">
        <v>45</v>
      </c>
      <c r="B3" s="13" t="s">
        <v>46</v>
      </c>
      <c r="C3" s="13" t="s">
        <v>47</v>
      </c>
      <c r="D3" s="13" t="s">
        <v>40</v>
      </c>
      <c r="E3" s="13" t="s">
        <v>41</v>
      </c>
      <c r="F3" s="13" t="s">
        <v>42</v>
      </c>
    </row>
    <row r="4" customFormat="false" ht="15" hidden="false" customHeight="false" outlineLevel="0" collapsed="false">
      <c r="A4" s="7" t="s">
        <v>24</v>
      </c>
      <c r="B4" s="14" t="n">
        <f aca="false">Inputs!B4</f>
        <v>5000000</v>
      </c>
      <c r="C4" s="14" t="n">
        <f aca="false">B4</f>
        <v>5000000</v>
      </c>
      <c r="D4" s="14" t="n">
        <f aca="false">C4</f>
        <v>5000000</v>
      </c>
      <c r="E4" s="14" t="n">
        <f aca="false">D4</f>
        <v>5000000</v>
      </c>
      <c r="F4" s="14" t="n">
        <f aca="false">E4</f>
        <v>5000000</v>
      </c>
    </row>
    <row r="5" customFormat="false" ht="15" hidden="false" customHeight="false" outlineLevel="0" collapsed="false">
      <c r="A5" s="7" t="s">
        <v>25</v>
      </c>
      <c r="B5" s="14" t="n">
        <f aca="false">Inputs!B5</f>
        <v>3000000</v>
      </c>
      <c r="C5" s="14" t="n">
        <f aca="false">B5</f>
        <v>3000000</v>
      </c>
      <c r="D5" s="14" t="n">
        <f aca="false">C5</f>
        <v>3000000</v>
      </c>
      <c r="E5" s="14" t="n">
        <f aca="false">D5</f>
        <v>3000000</v>
      </c>
      <c r="F5" s="14" t="n">
        <f aca="false">E5</f>
        <v>3000000</v>
      </c>
    </row>
    <row r="6" customFormat="false" ht="15" hidden="false" customHeight="false" outlineLevel="0" collapsed="false">
      <c r="A6" s="7" t="s">
        <v>26</v>
      </c>
      <c r="B6" s="14" t="n">
        <f aca="false">Inputs!B6</f>
        <v>0</v>
      </c>
      <c r="C6" s="14" t="n">
        <f aca="false">B6</f>
        <v>0</v>
      </c>
      <c r="D6" s="14" t="n">
        <f aca="false">C6</f>
        <v>0</v>
      </c>
      <c r="E6" s="14" t="n">
        <f aca="false">D6</f>
        <v>0</v>
      </c>
      <c r="F6" s="14" t="n">
        <f aca="false">E6</f>
        <v>0</v>
      </c>
    </row>
    <row r="7" customFormat="false" ht="15" hidden="false" customHeight="false" outlineLevel="0" collapsed="false">
      <c r="A7" s="7" t="s">
        <v>32</v>
      </c>
      <c r="B7" s="14" t="n">
        <v>0</v>
      </c>
      <c r="C7" s="14" t="n">
        <f aca="false">Inputs!D10*B14/(1-Inputs!$D$13)</f>
        <v>1035971.22302158</v>
      </c>
      <c r="D7" s="14" t="n">
        <f aca="false">C7</f>
        <v>1035971.22302158</v>
      </c>
      <c r="E7" s="14" t="n">
        <f aca="false">D7</f>
        <v>1035971.22302158</v>
      </c>
      <c r="F7" s="14" t="n">
        <f aca="false">E7</f>
        <v>1035971.22302158</v>
      </c>
    </row>
    <row r="8" customFormat="false" ht="15" hidden="false" customHeight="false" outlineLevel="0" collapsed="false">
      <c r="A8" s="7" t="s">
        <v>33</v>
      </c>
      <c r="B8" s="14" t="n">
        <v>0</v>
      </c>
      <c r="C8" s="14" t="n">
        <f aca="false">Inputs!D11*B14/(1-Inputs!$D$13)</f>
        <v>323741.007194245</v>
      </c>
      <c r="D8" s="14" t="n">
        <f aca="false">C8</f>
        <v>323741.007194245</v>
      </c>
      <c r="E8" s="14" t="n">
        <f aca="false">D8</f>
        <v>323741.007194245</v>
      </c>
      <c r="F8" s="14" t="n">
        <f aca="false">E8</f>
        <v>323741.007194245</v>
      </c>
    </row>
    <row r="9" customFormat="false" ht="15" hidden="false" customHeight="false" outlineLevel="0" collapsed="false">
      <c r="A9" s="7" t="s">
        <v>34</v>
      </c>
      <c r="B9" s="14" t="n">
        <v>0</v>
      </c>
      <c r="C9" s="14" t="n">
        <f aca="false">Inputs!D12*B14/(1-Inputs!$D$13)</f>
        <v>0</v>
      </c>
      <c r="D9" s="14" t="n">
        <f aca="false">C9</f>
        <v>0</v>
      </c>
      <c r="E9" s="14" t="n">
        <f aca="false">D9</f>
        <v>0</v>
      </c>
      <c r="F9" s="14" t="n">
        <f aca="false">E9</f>
        <v>0</v>
      </c>
    </row>
    <row r="10" customFormat="false" ht="15" hidden="false" customHeight="false" outlineLevel="0" collapsed="false">
      <c r="A10" s="7" t="s">
        <v>48</v>
      </c>
      <c r="B10" s="14" t="n">
        <v>0</v>
      </c>
      <c r="C10" s="14" t="n">
        <v>0</v>
      </c>
      <c r="D10" s="14" t="n">
        <f aca="false">IF(D39=1,D47,0)</f>
        <v>2943305.73277227</v>
      </c>
      <c r="E10" s="14" t="n">
        <f aca="false">D10</f>
        <v>2943305.73277227</v>
      </c>
      <c r="F10" s="14" t="n">
        <f aca="false">E10</f>
        <v>2943305.73277227</v>
      </c>
    </row>
    <row r="11" customFormat="false" ht="15" hidden="false" customHeight="false" outlineLevel="0" collapsed="false">
      <c r="A11" s="7" t="s">
        <v>49</v>
      </c>
      <c r="B11" s="14" t="n">
        <v>0</v>
      </c>
      <c r="C11" s="14" t="n">
        <v>0</v>
      </c>
      <c r="D11" s="14" t="n">
        <f aca="false">C11</f>
        <v>0</v>
      </c>
      <c r="E11" s="14" t="n">
        <f aca="false">IF(E39=1,E47,0)</f>
        <v>3756646.70625591</v>
      </c>
      <c r="F11" s="14" t="n">
        <f aca="false">E11</f>
        <v>3756646.70625591</v>
      </c>
    </row>
    <row r="12" customFormat="false" ht="15" hidden="false" customHeight="false" outlineLevel="0" collapsed="false">
      <c r="A12" s="7" t="s">
        <v>50</v>
      </c>
      <c r="B12" s="14" t="n">
        <v>0</v>
      </c>
      <c r="C12" s="14" t="n">
        <v>0</v>
      </c>
      <c r="D12" s="14" t="n">
        <f aca="false">C12</f>
        <v>0</v>
      </c>
      <c r="E12" s="14" t="n">
        <f aca="false">D12</f>
        <v>0</v>
      </c>
      <c r="F12" s="14" t="n">
        <f aca="false">IF(F39=1,F47,0)</f>
        <v>0</v>
      </c>
    </row>
    <row r="13" customFormat="false" ht="15" hidden="false" customHeight="false" outlineLevel="0" collapsed="false">
      <c r="A13" s="7" t="s">
        <v>51</v>
      </c>
      <c r="B13" s="14" t="n">
        <f aca="false">Inputs!B7</f>
        <v>1000000</v>
      </c>
      <c r="C13" s="14" t="n">
        <f aca="false">B13</f>
        <v>1000000</v>
      </c>
      <c r="D13" s="14" t="n">
        <f aca="false">D48</f>
        <v>1677684.2676802</v>
      </c>
      <c r="E13" s="14" t="n">
        <f aca="false">E48</f>
        <v>1784407.18547156</v>
      </c>
      <c r="F13" s="14" t="n">
        <f aca="false">F48</f>
        <v>1784407.18547156</v>
      </c>
    </row>
    <row r="14" customFormat="false" ht="15" hidden="false" customHeight="false" outlineLevel="0" collapsed="false">
      <c r="A14" s="5"/>
      <c r="B14" s="14" t="n">
        <f aca="false">SUM(B4:B13)</f>
        <v>9000000</v>
      </c>
      <c r="C14" s="14" t="n">
        <f aca="false">SUM(C4:C13)</f>
        <v>10359712.2302158</v>
      </c>
      <c r="D14" s="14" t="n">
        <f aca="false">SUM(D4:D13)</f>
        <v>13980702.2306683</v>
      </c>
      <c r="E14" s="14" t="n">
        <f aca="false">SUM(E4:E13)</f>
        <v>17844071.8547156</v>
      </c>
      <c r="F14" s="14" t="n">
        <f aca="false">SUM(F4:F13)</f>
        <v>17844071.8547156</v>
      </c>
    </row>
    <row r="16" customFormat="false" ht="15" hidden="false" customHeight="false" outlineLevel="0" collapsed="false">
      <c r="A16" s="3" t="s">
        <v>52</v>
      </c>
    </row>
    <row r="17" customFormat="false" ht="15" hidden="false" customHeight="false" outlineLevel="0" collapsed="false">
      <c r="A17" s="7" t="s">
        <v>24</v>
      </c>
      <c r="B17" s="10" t="n">
        <f aca="false">IF(B$14&gt;0,B4/B$14,0)</f>
        <v>0.555555555555556</v>
      </c>
      <c r="C17" s="10" t="n">
        <f aca="false">IF(C$14&gt;0,C4/C$14,0)</f>
        <v>0.482638888888889</v>
      </c>
      <c r="D17" s="10" t="n">
        <f aca="false">IF(D$14&gt;0,D4/D$14,0)</f>
        <v>0.357635826692018</v>
      </c>
      <c r="E17" s="10" t="n">
        <f aca="false">IF(E$14&gt;0,E4/E$14,0)</f>
        <v>0.28020510344889</v>
      </c>
      <c r="F17" s="10" t="n">
        <f aca="false">IF(F$14&gt;0,F4/F$14,0)</f>
        <v>0.28020510344889</v>
      </c>
    </row>
    <row r="18" customFormat="false" ht="15" hidden="false" customHeight="false" outlineLevel="0" collapsed="false">
      <c r="A18" s="7" t="s">
        <v>25</v>
      </c>
      <c r="B18" s="10" t="n">
        <f aca="false">IF(B$14&gt;0,B5/B$14,0)</f>
        <v>0.333333333333333</v>
      </c>
      <c r="C18" s="10" t="n">
        <f aca="false">IF(C$14&gt;0,C5/C$14,0)</f>
        <v>0.289583333333333</v>
      </c>
      <c r="D18" s="10" t="n">
        <f aca="false">IF(D$14&gt;0,D5/D$14,0)</f>
        <v>0.214581496015211</v>
      </c>
      <c r="E18" s="10" t="n">
        <f aca="false">IF(E$14&gt;0,E5/E$14,0)</f>
        <v>0.168123062069334</v>
      </c>
      <c r="F18" s="10" t="n">
        <f aca="false">IF(F$14&gt;0,F5/F$14,0)</f>
        <v>0.168123062069334</v>
      </c>
    </row>
    <row r="19" customFormat="false" ht="15" hidden="false" customHeight="false" outlineLevel="0" collapsed="false">
      <c r="A19" s="7" t="s">
        <v>26</v>
      </c>
      <c r="B19" s="10" t="n">
        <f aca="false">IF(B$14&gt;0,B6/B$14,0)</f>
        <v>0</v>
      </c>
      <c r="C19" s="10" t="n">
        <f aca="false">IF(C$14&gt;0,C6/C$14,0)</f>
        <v>0</v>
      </c>
      <c r="D19" s="10" t="n">
        <f aca="false">IF(D$14&gt;0,D6/D$14,0)</f>
        <v>0</v>
      </c>
      <c r="E19" s="10" t="n">
        <f aca="false">IF(E$14&gt;0,E6/E$14,0)</f>
        <v>0</v>
      </c>
      <c r="F19" s="10" t="n">
        <f aca="false">IF(F$14&gt;0,F6/F$14,0)</f>
        <v>0</v>
      </c>
    </row>
    <row r="20" customFormat="false" ht="15" hidden="false" customHeight="false" outlineLevel="0" collapsed="false">
      <c r="A20" s="7" t="s">
        <v>32</v>
      </c>
      <c r="B20" s="10" t="n">
        <f aca="false">IF(B$14&gt;0,B7/B$14,0)</f>
        <v>0</v>
      </c>
      <c r="C20" s="10" t="n">
        <f aca="false">IF(C$14&gt;0,C7/C$14,0)</f>
        <v>0.1</v>
      </c>
      <c r="D20" s="10" t="n">
        <f aca="false">IF(D$14&gt;0,D7/D$14,0)</f>
        <v>0.074100084954893</v>
      </c>
      <c r="E20" s="10" t="n">
        <f aca="false">IF(E$14&gt;0,E7/E$14,0)</f>
        <v>0.0580568847433671</v>
      </c>
      <c r="F20" s="10" t="n">
        <f aca="false">IF(F$14&gt;0,F7/F$14,0)</f>
        <v>0.0580568847433671</v>
      </c>
    </row>
    <row r="21" customFormat="false" ht="15" hidden="false" customHeight="false" outlineLevel="0" collapsed="false">
      <c r="A21" s="7" t="s">
        <v>33</v>
      </c>
      <c r="B21" s="10" t="n">
        <f aca="false">IF(B$14&gt;0,B8/B$14,0)</f>
        <v>0</v>
      </c>
      <c r="C21" s="10" t="n">
        <f aca="false">IF(C$14&gt;0,C8/C$14,0)</f>
        <v>0.03125</v>
      </c>
      <c r="D21" s="10" t="n">
        <f aca="false">IF(D$14&gt;0,D8/D$14,0)</f>
        <v>0.0231562765484041</v>
      </c>
      <c r="E21" s="10" t="n">
        <f aca="false">IF(E$14&gt;0,E8/E$14,0)</f>
        <v>0.0181427764823022</v>
      </c>
      <c r="F21" s="10" t="n">
        <f aca="false">IF(F$14&gt;0,F8/F$14,0)</f>
        <v>0.0181427764823022</v>
      </c>
    </row>
    <row r="22" customFormat="false" ht="15" hidden="false" customHeight="false" outlineLevel="0" collapsed="false">
      <c r="A22" s="7" t="s">
        <v>34</v>
      </c>
      <c r="B22" s="10" t="n">
        <f aca="false">IF(B$14&gt;0,B9/B$14,0)</f>
        <v>0</v>
      </c>
      <c r="C22" s="10" t="n">
        <f aca="false">IF(C$14&gt;0,C9/C$14,0)</f>
        <v>0</v>
      </c>
      <c r="D22" s="10" t="n">
        <f aca="false">IF(D$14&gt;0,D9/D$14,0)</f>
        <v>0</v>
      </c>
      <c r="E22" s="10" t="n">
        <f aca="false">IF(E$14&gt;0,E9/E$14,0)</f>
        <v>0</v>
      </c>
      <c r="F22" s="10" t="n">
        <f aca="false">IF(F$14&gt;0,F9/F$14,0)</f>
        <v>0</v>
      </c>
    </row>
    <row r="23" customFormat="false" ht="15" hidden="false" customHeight="false" outlineLevel="0" collapsed="false">
      <c r="A23" s="7" t="s">
        <v>48</v>
      </c>
      <c r="B23" s="10" t="n">
        <f aca="false">IF(B$14&gt;0,B10/B$14,0)</f>
        <v>0</v>
      </c>
      <c r="C23" s="10" t="n">
        <f aca="false">IF(C$14&gt;0,C10/C$14,0)</f>
        <v>0</v>
      </c>
      <c r="D23" s="10" t="n">
        <f aca="false">IF(D$14&gt;0,D10/D$14,0)</f>
        <v>0.210526315789474</v>
      </c>
      <c r="E23" s="10" t="n">
        <f aca="false">IF(E$14&gt;0,E10/E$14,0)</f>
        <v>0.164945857466633</v>
      </c>
      <c r="F23" s="10" t="n">
        <f aca="false">IF(F$14&gt;0,F10/F$14,0)</f>
        <v>0.164945857466633</v>
      </c>
    </row>
    <row r="24" customFormat="false" ht="15" hidden="false" customHeight="false" outlineLevel="0" collapsed="false">
      <c r="A24" s="7" t="s">
        <v>49</v>
      </c>
      <c r="B24" s="10" t="n">
        <f aca="false">IF(B$14&gt;0,B11/B$14,0)</f>
        <v>0</v>
      </c>
      <c r="C24" s="10" t="n">
        <f aca="false">IF(C$14&gt;0,C11/C$14,0)</f>
        <v>0</v>
      </c>
      <c r="D24" s="10" t="n">
        <f aca="false">IF(D$14&gt;0,D11/D$14,0)</f>
        <v>0</v>
      </c>
      <c r="E24" s="10" t="n">
        <f aca="false">IF(E$14&gt;0,E11/E$14,0)</f>
        <v>0.210526315789474</v>
      </c>
      <c r="F24" s="10" t="n">
        <f aca="false">IF(F$14&gt;0,F11/F$14,0)</f>
        <v>0.210526315789474</v>
      </c>
    </row>
    <row r="25" customFormat="false" ht="15" hidden="false" customHeight="false" outlineLevel="0" collapsed="false">
      <c r="A25" s="7" t="s">
        <v>50</v>
      </c>
      <c r="B25" s="10" t="n">
        <f aca="false">IF(B$14&gt;0,B12/B$14,0)</f>
        <v>0</v>
      </c>
      <c r="C25" s="10" t="n">
        <f aca="false">IF(C$14&gt;0,C12/C$14,0)</f>
        <v>0</v>
      </c>
      <c r="D25" s="10" t="n">
        <f aca="false">IF(D$14&gt;0,D12/D$14,0)</f>
        <v>0</v>
      </c>
      <c r="E25" s="10" t="n">
        <f aca="false">IF(E$14&gt;0,E12/E$14,0)</f>
        <v>0</v>
      </c>
      <c r="F25" s="10" t="n">
        <f aca="false">IF(F$14&gt;0,F12/F$14,0)</f>
        <v>0</v>
      </c>
    </row>
    <row r="26" customFormat="false" ht="15" hidden="false" customHeight="false" outlineLevel="0" collapsed="false">
      <c r="A26" s="7" t="s">
        <v>51</v>
      </c>
      <c r="B26" s="10" t="n">
        <f aca="false">IF(B$14&gt;0,B13/B$14,0)</f>
        <v>0.111111111111111</v>
      </c>
      <c r="C26" s="10" t="n">
        <f aca="false">IF(C$14&gt;0,C13/C$14,0)</f>
        <v>0.0965277777777778</v>
      </c>
      <c r="D26" s="10" t="n">
        <f aca="false">IF(D$14&gt;0,D13/D$14,0)</f>
        <v>0.12</v>
      </c>
      <c r="E26" s="10" t="n">
        <f aca="false">IF(E$14&gt;0,E13/E$14,0)</f>
        <v>0.1</v>
      </c>
      <c r="F26" s="10" t="n">
        <f aca="false">IF(F$14&gt;0,F13/F$14,0)</f>
        <v>0.1</v>
      </c>
    </row>
    <row r="27" customFormat="false" ht="15" hidden="false" customHeight="false" outlineLevel="0" collapsed="false">
      <c r="A27" s="5" t="s">
        <v>53</v>
      </c>
      <c r="B27" s="11" t="n">
        <f aca="false">SUM(B17:B26)</f>
        <v>1</v>
      </c>
      <c r="C27" s="11" t="n">
        <f aca="false">SUM(C17:C26)</f>
        <v>1</v>
      </c>
      <c r="D27" s="11" t="n">
        <f aca="false">SUM(D17:D26)</f>
        <v>1</v>
      </c>
      <c r="E27" s="11" t="n">
        <f aca="false">SUM(E17:E26)</f>
        <v>1</v>
      </c>
      <c r="F27" s="11" t="n">
        <f aca="false">SUM(F17:F26)</f>
        <v>1</v>
      </c>
    </row>
    <row r="29" customFormat="false" ht="15" hidden="false" customHeight="false" outlineLevel="0" collapsed="false">
      <c r="A29" s="5" t="s">
        <v>54</v>
      </c>
      <c r="B29" s="11" t="n">
        <f aca="false">B17+B18</f>
        <v>0.888888888888889</v>
      </c>
      <c r="C29" s="11" t="n">
        <f aca="false">C17+C18</f>
        <v>0.772222222222222</v>
      </c>
      <c r="D29" s="11" t="n">
        <f aca="false">D17+D18</f>
        <v>0.572217322707229</v>
      </c>
      <c r="E29" s="11" t="n">
        <f aca="false">E17+E18</f>
        <v>0.448328165518224</v>
      </c>
      <c r="F29" s="11" t="n">
        <f aca="false">F17+F18</f>
        <v>0.448328165518224</v>
      </c>
    </row>
    <row r="30" customFormat="false" ht="15" hidden="false" customHeight="false" outlineLevel="0" collapsed="false">
      <c r="A30" s="7" t="s">
        <v>55</v>
      </c>
      <c r="C30" s="15" t="n">
        <f aca="false">IF(B29&gt;0,1-C29/B29,0)</f>
        <v>0.13125</v>
      </c>
      <c r="D30" s="15" t="n">
        <f aca="false">IF(C29&gt;0,1-D29/C29,0)</f>
        <v>0.25899915045107</v>
      </c>
      <c r="E30" s="15" t="n">
        <f aca="false">IF(D29&gt;0,1-E29/D29,0)</f>
        <v>0.216507177033493</v>
      </c>
      <c r="F30" s="15" t="n">
        <f aca="false">IF(E29&gt;0,1-F29/E29,0)</f>
        <v>0</v>
      </c>
    </row>
    <row r="31" customFormat="false" ht="15" hidden="false" customHeight="false" outlineLevel="0" collapsed="false">
      <c r="A31" s="7" t="s">
        <v>56</v>
      </c>
      <c r="C31" s="16" t="n">
        <f aca="false">(C29-B29)*100</f>
        <v>-11.6666666666667</v>
      </c>
      <c r="D31" s="16" t="n">
        <f aca="false">(D29-C29)*100</f>
        <v>-20.0004899514993</v>
      </c>
      <c r="E31" s="16" t="n">
        <f aca="false">(E29-D29)*100</f>
        <v>-12.3889157189005</v>
      </c>
      <c r="F31" s="16" t="n">
        <f aca="false">(F29-E29)*100</f>
        <v>0</v>
      </c>
    </row>
    <row r="32" customFormat="false" ht="15" hidden="false" customHeight="false" outlineLevel="0" collapsed="false">
      <c r="A32" s="0" t="s">
        <v>57</v>
      </c>
      <c r="D32" s="17" t="n">
        <f aca="false">IF(D39=1,D49,0)</f>
        <v>1.35901614142967</v>
      </c>
      <c r="E32" s="17" t="n">
        <f aca="false">IF(E39=1,E49,0)</f>
        <v>3.19433817931735</v>
      </c>
      <c r="F32" s="17" t="n">
        <f aca="false">IF(F39=1,F49,0)</f>
        <v>0</v>
      </c>
    </row>
    <row r="33" customFormat="false" ht="15" hidden="false" customHeight="false" outlineLevel="0" collapsed="false">
      <c r="A33" s="0" t="s">
        <v>58</v>
      </c>
      <c r="D33" s="18" t="n">
        <f aca="false">IF(D39=1,(D4+D5)*D49,0)</f>
        <v>10872129.1314374</v>
      </c>
      <c r="E33" s="18" t="n">
        <f aca="false">IF(E39=1,(E4+E5)*E49,0)</f>
        <v>25554705.4345388</v>
      </c>
      <c r="F33" s="18" t="n">
        <f aca="false">IF(F39=1,(F4+F5)*F49,0)</f>
        <v>0</v>
      </c>
    </row>
    <row r="34" customFormat="false" ht="15" hidden="false" customHeight="false" outlineLevel="0" collapsed="false">
      <c r="A34" s="0" t="s">
        <v>59</v>
      </c>
      <c r="E34" s="19" t="n">
        <f aca="false">IF(AND(D33&gt;0,E33&gt;0),E33/D33,0)</f>
        <v>2.35047846889952</v>
      </c>
      <c r="F34" s="19" t="n">
        <f aca="false">IF(AND(E33&gt;0,F33&gt;0),F33/E33,0)</f>
        <v>0</v>
      </c>
    </row>
    <row r="36" customFormat="false" ht="15" hidden="false" customHeight="false" outlineLevel="0" collapsed="false">
      <c r="A36" s="5" t="s">
        <v>60</v>
      </c>
      <c r="B36" s="18" t="n">
        <f aca="false">Inputs!B20*F29</f>
        <v>134498449.655467</v>
      </c>
    </row>
    <row r="37" customFormat="false" ht="15" hidden="false" customHeight="false" outlineLevel="0" collapsed="false">
      <c r="A37" s="2" t="s">
        <v>61</v>
      </c>
    </row>
    <row r="38" customFormat="false" ht="15" hidden="false" customHeight="false" outlineLevel="0" collapsed="false">
      <c r="A38" s="20" t="s">
        <v>62</v>
      </c>
      <c r="B38" s="20"/>
      <c r="C38" s="20"/>
      <c r="D38" s="20" t="s">
        <v>40</v>
      </c>
      <c r="E38" s="20" t="s">
        <v>41</v>
      </c>
      <c r="F38" s="20" t="s">
        <v>42</v>
      </c>
    </row>
    <row r="39" customFormat="false" ht="15" hidden="false" customHeight="false" outlineLevel="0" collapsed="false">
      <c r="A39" s="7" t="s">
        <v>63</v>
      </c>
      <c r="D39" s="21" t="n">
        <f aca="false">IF(AND(Inputs!C16&gt;0,Inputs!B16&gt;0),1,0)</f>
        <v>1</v>
      </c>
      <c r="E39" s="21" t="n">
        <f aca="false">IF(AND(Inputs!C17&gt;0,Inputs!B17&gt;0),1,0)</f>
        <v>1</v>
      </c>
      <c r="F39" s="21" t="n">
        <f aca="false">IF(AND(Inputs!C18&gt;0,Inputs!B18&gt;0),1,0)</f>
        <v>0</v>
      </c>
    </row>
    <row r="40" customFormat="false" ht="15" hidden="false" customHeight="false" outlineLevel="0" collapsed="false">
      <c r="A40" s="7" t="s">
        <v>64</v>
      </c>
      <c r="D40" s="22" t="n">
        <f aca="false">IF(D39=1,Inputs!C16/(Inputs!B16+Inputs!C16),0)</f>
        <v>0.210526315789474</v>
      </c>
      <c r="E40" s="22" t="n">
        <f aca="false">IF(E39=1,Inputs!C17/(Inputs!B17+Inputs!C17),0)</f>
        <v>0.210526315789474</v>
      </c>
      <c r="F40" s="22" t="n">
        <f aca="false">IF(F39=1,Inputs!C18/(Inputs!B18+Inputs!C18),0)</f>
        <v>0</v>
      </c>
    </row>
    <row r="41" customFormat="false" ht="15" hidden="false" customHeight="false" outlineLevel="0" collapsed="false">
      <c r="A41" s="7" t="s">
        <v>65</v>
      </c>
      <c r="D41" s="22" t="n">
        <f aca="false">Inputs!D16</f>
        <v>0.12</v>
      </c>
      <c r="E41" s="22" t="n">
        <f aca="false">Inputs!D17</f>
        <v>0.1</v>
      </c>
      <c r="F41" s="22" t="n">
        <f aca="false">Inputs!D18</f>
        <v>0</v>
      </c>
    </row>
    <row r="42" customFormat="false" ht="15" hidden="false" customHeight="false" outlineLevel="0" collapsed="false">
      <c r="A42" s="7" t="s">
        <v>66</v>
      </c>
      <c r="D42" s="21" t="n">
        <f aca="false">C14-C13</f>
        <v>9359712.23021583</v>
      </c>
      <c r="E42" s="21" t="n">
        <f aca="false">D14-D13</f>
        <v>12303017.9629881</v>
      </c>
      <c r="F42" s="21" t="n">
        <f aca="false">E14-E13</f>
        <v>16059664.669244</v>
      </c>
    </row>
    <row r="43" customFormat="false" ht="15" hidden="false" customHeight="false" outlineLevel="0" collapsed="false">
      <c r="A43" s="7" t="s">
        <v>67</v>
      </c>
      <c r="D43" s="21" t="n">
        <f aca="false">C13</f>
        <v>1000000</v>
      </c>
      <c r="E43" s="21" t="n">
        <f aca="false">D13</f>
        <v>1677684.2676802</v>
      </c>
      <c r="F43" s="21" t="n">
        <f aca="false">E13</f>
        <v>1784407.18547156</v>
      </c>
    </row>
    <row r="44" customFormat="false" ht="15" hidden="false" customHeight="false" outlineLevel="0" collapsed="false">
      <c r="A44" s="7" t="s">
        <v>68</v>
      </c>
      <c r="D44" s="21" t="n">
        <f aca="false">IF(1-D41-D40&gt;0,D42/(1-D41-D40),0)</f>
        <v>13980702.2306683</v>
      </c>
      <c r="E44" s="21" t="n">
        <f aca="false">IF(1-E41-E40&gt;0,E42/(1-E41-E40),0)</f>
        <v>17844071.8547156</v>
      </c>
      <c r="F44" s="21" t="n">
        <f aca="false">IF(1-F41-F40&gt;0,F42/(1-F41-F40),0)</f>
        <v>16059664.669244</v>
      </c>
    </row>
    <row r="45" customFormat="false" ht="15" hidden="false" customHeight="false" outlineLevel="0" collapsed="false">
      <c r="A45" s="7" t="s">
        <v>69</v>
      </c>
      <c r="D45" s="21" t="n">
        <f aca="false">IF(AND(D41&gt;0,D41*D44&gt;D43,D44&gt;0),1,0)</f>
        <v>1</v>
      </c>
      <c r="E45" s="21" t="n">
        <f aca="false">IF(AND(E41&gt;0,E41*E44&gt;E43,E44&gt;0),1,0)</f>
        <v>1</v>
      </c>
      <c r="F45" s="21" t="n">
        <f aca="false">IF(AND(F41&gt;0,F41*F44&gt;F43,F44&gt;0),1,0)</f>
        <v>0</v>
      </c>
    </row>
    <row r="46" customFormat="false" ht="15" hidden="false" customHeight="false" outlineLevel="0" collapsed="false">
      <c r="A46" s="7" t="s">
        <v>70</v>
      </c>
      <c r="D46" s="21" t="n">
        <f aca="false">IF(D39=0,C14,IF(D45=1,D44,(D42+D43)/(1-D40)))</f>
        <v>13980702.2306683</v>
      </c>
      <c r="E46" s="21" t="n">
        <f aca="false">IF(E39=0,D14,IF(E45=1,E44,(E42+E43)/(1-E40)))</f>
        <v>17844071.8547156</v>
      </c>
      <c r="F46" s="21" t="n">
        <f aca="false">IF(F39=0,E14,IF(F45=1,F44,(F42+F43)/(1-F40)))</f>
        <v>17844071.8547156</v>
      </c>
    </row>
    <row r="47" customFormat="false" ht="15" hidden="false" customHeight="false" outlineLevel="0" collapsed="false">
      <c r="A47" s="7" t="s">
        <v>71</v>
      </c>
      <c r="D47" s="21" t="n">
        <f aca="false">D40*D46</f>
        <v>2943305.73277227</v>
      </c>
      <c r="E47" s="21" t="n">
        <f aca="false">E40*E46</f>
        <v>3756646.70625591</v>
      </c>
      <c r="F47" s="21" t="n">
        <f aca="false">F40*F46</f>
        <v>0</v>
      </c>
    </row>
    <row r="48" customFormat="false" ht="15" hidden="false" customHeight="false" outlineLevel="0" collapsed="false">
      <c r="A48" s="7" t="s">
        <v>72</v>
      </c>
      <c r="D48" s="21" t="n">
        <f aca="false">IF(D39=0,C13,IF(D45=1,D41*D46,D43))</f>
        <v>1677684.2676802</v>
      </c>
      <c r="E48" s="21" t="n">
        <f aca="false">IF(E39=0,D13,IF(E45=1,E41*E46,E43))</f>
        <v>1784407.18547156</v>
      </c>
      <c r="F48" s="21" t="n">
        <f aca="false">IF(F39=0,E13,IF(F45=1,F41*F46,F43))</f>
        <v>1784407.18547156</v>
      </c>
    </row>
    <row r="49" customFormat="false" ht="15" hidden="false" customHeight="false" outlineLevel="0" collapsed="false">
      <c r="A49" s="7" t="s">
        <v>73</v>
      </c>
      <c r="D49" s="22" t="n">
        <f aca="false">IF(D39=1,(Inputs!B16+Inputs!C16)/D46,0)</f>
        <v>1.35901614142967</v>
      </c>
      <c r="E49" s="22" t="n">
        <f aca="false">IF(E39=1,(Inputs!B17+Inputs!C17)/E46,0)</f>
        <v>3.19433817931735</v>
      </c>
      <c r="F49" s="22" t="n">
        <f aca="false">IF(F39=1,(Inputs!B18+Inputs!C18)/F46,0)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2026-09-20T07:57:36Z</dcterms:created>
  <dc:creator>openpyxl</dc:creator>
  <dc:description/>
  <dc:language>en-US</dc:language>
  <cp:lastModifiedBy/>
  <dcterms:modified xsi:type="dcterms:W3CDTF">2026-09-20T07:57:36Z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